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cae19bb150c8d329/Documents/2 - QUEEN CITY/Financials FY2023-2024/1 - FY23-24 Reporting/2024.05 Reporting/"/>
    </mc:Choice>
  </mc:AlternateContent>
  <xr:revisionPtr revIDLastSave="2" documentId="8_{B8628DD6-9F84-4313-8D63-945B86D44240}" xr6:coauthVersionLast="47" xr6:coauthVersionMax="47" xr10:uidLastSave="{8978B6BE-4A48-40B2-AC1B-34AE432F3D2C}"/>
  <bookViews>
    <workbookView xWindow="-108" yWindow="-108" windowWidth="23256" windowHeight="12456" tabRatio="689" xr2:uid="{ACD40653-8C09-4B8B-A8B2-826A6BD67EF6}"/>
  </bookViews>
  <sheets>
    <sheet name="Snapshot 23-24" sheetId="1" r:id="rId1"/>
    <sheet name="Fiscal Highlights 23-24" sheetId="2" r:id="rId2"/>
    <sheet name="Income Statement 23-24" sheetId="10" r:id="rId3"/>
    <sheet name="Balance Sheet 23-24" sheetId="11" r:id="rId4"/>
    <sheet name="Banking &amp; InvestM 23-24" sheetId="12" r:id="rId5"/>
    <sheet name="Capital 23-24" sheetId="6" r:id="rId6"/>
    <sheet name="Members 23-24 Nos" sheetId="7" r:id="rId7"/>
    <sheet name="MemberS 23-24 Lifetime" sheetId="8" r:id="rId8"/>
    <sheet name="MemberS Intermediates 23-24" sheetId="9" r:id="rId9"/>
  </sheets>
  <definedNames>
    <definedName name="ACTIVE" localSheetId="3">#REF!</definedName>
    <definedName name="ACTIVE" localSheetId="4">#REF!</definedName>
    <definedName name="ACTIVE" localSheetId="5">#REF!</definedName>
    <definedName name="ACTIVE" localSheetId="1">#REF!</definedName>
    <definedName name="ACTIVE" localSheetId="2">#REF!</definedName>
    <definedName name="ACTIVE" localSheetId="7">#REF!</definedName>
    <definedName name="ACTIVE" localSheetId="6">#REF!</definedName>
    <definedName name="ACTIVE" localSheetId="8">#REF!</definedName>
    <definedName name="ACTIVE" localSheetId="0">#REF!</definedName>
    <definedName name="ACTIVE">#REF!</definedName>
    <definedName name="AprSun1" localSheetId="3">DATEVALUE("4/1/"&amp;#REF!)-WEEKDAY(DATEVALUE("4/1/"&amp;#REF!))+1</definedName>
    <definedName name="AprSun1" localSheetId="4">DATEVALUE("4/1/"&amp;#REF!)-WEEKDAY(DATEVALUE("4/1/"&amp;#REF!))+1</definedName>
    <definedName name="AprSun1" localSheetId="5">DATEVALUE("4/1/"&amp;#REF!)-WEEKDAY(DATEVALUE("4/1/"&amp;#REF!))+1</definedName>
    <definedName name="AprSun1" localSheetId="1">DATEVALUE("4/1/"&amp;#REF!)-WEEKDAY(DATEVALUE("4/1/"&amp;#REF!))+1</definedName>
    <definedName name="AprSun1" localSheetId="2">DATEVALUE("4/1/"&amp;#REF!)-WEEKDAY(DATEVALUE("4/1/"&amp;#REF!))+1</definedName>
    <definedName name="AprSun1" localSheetId="7">DATEVALUE("4/1/"&amp;#REF!)-WEEKDAY(DATEVALUE("4/1/"&amp;#REF!))+1</definedName>
    <definedName name="AprSun1" localSheetId="6">DATEVALUE("4/1/"&amp;#REF!)-WEEKDAY(DATEVALUE("4/1/"&amp;#REF!))+1</definedName>
    <definedName name="AprSun1" localSheetId="8">DATEVALUE("4/1/"&amp;#REF!)-WEEKDAY(DATEVALUE("4/1/"&amp;#REF!))+1</definedName>
    <definedName name="AprSun1" localSheetId="0">DATEVALUE("4/1/"&amp;#REF!)-WEEKDAY(DATEVALUE("4/1/"&amp;#REF!))+1</definedName>
    <definedName name="AprSun1">DATEVALUE("4/1/"&amp;#REF!)-WEEKDAY(DATEVALUE("4/1/"&amp;#REF!))+1</definedName>
    <definedName name="AugSun1" localSheetId="3">DATEVALUE("8/1/"&amp;#REF!)-WEEKDAY(DATEVALUE("8/1/"&amp;#REF!))+1</definedName>
    <definedName name="AugSun1" localSheetId="4">DATEVALUE("8/1/"&amp;#REF!)-WEEKDAY(DATEVALUE("8/1/"&amp;#REF!))+1</definedName>
    <definedName name="AugSun1" localSheetId="5">DATEVALUE("8/1/"&amp;#REF!)-WEEKDAY(DATEVALUE("8/1/"&amp;#REF!))+1</definedName>
    <definedName name="AugSun1" localSheetId="1">DATEVALUE("8/1/"&amp;#REF!)-WEEKDAY(DATEVALUE("8/1/"&amp;#REF!))+1</definedName>
    <definedName name="AugSun1" localSheetId="2">DATEVALUE("8/1/"&amp;#REF!)-WEEKDAY(DATEVALUE("8/1/"&amp;#REF!))+1</definedName>
    <definedName name="AugSun1" localSheetId="7">DATEVALUE("8/1/"&amp;#REF!)-WEEKDAY(DATEVALUE("8/1/"&amp;#REF!))+1</definedName>
    <definedName name="AugSun1" localSheetId="6">DATEVALUE("8/1/"&amp;#REF!)-WEEKDAY(DATEVALUE("8/1/"&amp;#REF!))+1</definedName>
    <definedName name="AugSun1" localSheetId="8">DATEVALUE("8/1/"&amp;#REF!)-WEEKDAY(DATEVALUE("8/1/"&amp;#REF!))+1</definedName>
    <definedName name="AugSun1" localSheetId="0">DATEVALUE("8/1/"&amp;#REF!)-WEEKDAY(DATEVALUE("8/1/"&amp;#REF!))+1</definedName>
    <definedName name="AugSun1">DATEVALUE("8/1/"&amp;#REF!)-WEEKDAY(DATEVALUE("8/1/"&amp;#REF!))+1</definedName>
    <definedName name="Calendar" localSheetId="3">'Balance Sheet 23-24'!DaysAndWeeks + DateOfFirst - WEEKDAY(DateOfFirst,2)</definedName>
    <definedName name="Calendar" localSheetId="4">'Banking &amp; InvestM 23-24'!DaysAndWeeks + DateOfFirst - WEEKDAY(DateOfFirst,2)</definedName>
    <definedName name="Calendar" localSheetId="5">'Capital 23-24'!DaysAndWeeks + DateOfFirst - WEEKDAY(DateOfFirst,2)</definedName>
    <definedName name="Calendar" localSheetId="1">#REF! + DateOfFirst - WEEKDAY(DateOfFirst,2)</definedName>
    <definedName name="Calendar" localSheetId="2">'Income Statement 23-24'!DaysAndWeeks + DateOfFirst - WEEKDAY(DateOfFirst,2)</definedName>
    <definedName name="Calendar" localSheetId="7">'MemberS 23-24 Lifetime'!DaysAndWeeks + DateOfFirst - WEEKDAY(DateOfFirst,2)</definedName>
    <definedName name="Calendar" localSheetId="6">'Members 23-24 Nos'!DaysAndWeeks + DateOfFirst - WEEKDAY(DateOfFirst,2)</definedName>
    <definedName name="Calendar" localSheetId="8">'MemberS Intermediates 23-24'!DaysAndWeeks + DateOfFirst - WEEKDAY(DateOfFirst,2)</definedName>
    <definedName name="Calendar" localSheetId="0">#REF! + DateOfFirst - WEEKDAY(DateOfFirst,2)</definedName>
    <definedName name="Calendar">DaysAndWeeks + DateOfFirst - WEEKDAY(DateOfFirst,2)</definedName>
    <definedName name="CalendarYear" localSheetId="3">#REF!</definedName>
    <definedName name="CalendarYear" localSheetId="4">#REF!</definedName>
    <definedName name="CalendarYear" localSheetId="5">#REF!</definedName>
    <definedName name="CalendarYear" localSheetId="1">#REF!</definedName>
    <definedName name="CalendarYear" localSheetId="2">#REF!</definedName>
    <definedName name="CalendarYear" localSheetId="7">#REF!</definedName>
    <definedName name="CalendarYear" localSheetId="6">#REF!</definedName>
    <definedName name="CalendarYear" localSheetId="8">#REF!</definedName>
    <definedName name="CalendarYear" localSheetId="0">#REF!</definedName>
    <definedName name="CalendarYear">#REF!</definedName>
    <definedName name="CalYear" localSheetId="3">#REF!</definedName>
    <definedName name="CalYear" localSheetId="4">#REF!</definedName>
    <definedName name="CalYear" localSheetId="5">#REF!</definedName>
    <definedName name="CalYear" localSheetId="1">#REF!</definedName>
    <definedName name="CalYear" localSheetId="2">#REF!</definedName>
    <definedName name="CalYear" localSheetId="7">#REF!</definedName>
    <definedName name="CalYear" localSheetId="6">#REF!</definedName>
    <definedName name="CalYear" localSheetId="8">#REF!</definedName>
    <definedName name="CalYear" localSheetId="0">#REF!</definedName>
    <definedName name="CalYear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1">#REF!</definedName>
    <definedName name="_xlnm.Database" localSheetId="2">#REF!</definedName>
    <definedName name="_xlnm.Database" localSheetId="7">#REF!</definedName>
    <definedName name="_xlnm.Database" localSheetId="6">#REF!</definedName>
    <definedName name="_xlnm.Database" localSheetId="8">#REF!</definedName>
    <definedName name="_xlnm.Database" localSheetId="0">#REF!</definedName>
    <definedName name="_xlnm.Database">#REF!</definedName>
    <definedName name="Days" localSheetId="3">{0,1,2,3,4,5,6} + {0;1;2;3;4;5}*7</definedName>
    <definedName name="Days" localSheetId="4">{0,1,2,3,4,5,6} + {0;1;2;3;4;5}*7</definedName>
    <definedName name="Days" localSheetId="5">{0,1,2,3,4,5,6} + {0;1;2;3;4;5}*7</definedName>
    <definedName name="Days" localSheetId="1">{0,1,2,3,4,5,6} + {0;1;2;3;4;5}*7</definedName>
    <definedName name="Days" localSheetId="2">{0,1,2,3,4,5,6} + {0;1;2;3;4;5}*7</definedName>
    <definedName name="Days" localSheetId="7">{0,1,2,3,4,5,6} + {0;1;2;3;4;5}*7</definedName>
    <definedName name="Days" localSheetId="6">{0,1,2,3,4,5,6} + {0;1;2;3;4;5}*7</definedName>
    <definedName name="Days" localSheetId="8">{0,1,2,3,4,5,6} + {0;1;2;3;4;5}*7</definedName>
    <definedName name="Days" localSheetId="0">{0,1,2,3,4,5,6} + {0;1;2;3;4;5}*7</definedName>
    <definedName name="Days">{0,1,2,3,4,5,6} + {0;1;2;3;4;5}*7</definedName>
    <definedName name="DaysAndWeeks" localSheetId="3">{0,1,2,3,4,5,6} + {0;1;2;3;4;5}*7</definedName>
    <definedName name="DaysAndWeeks" localSheetId="4">{0,1,2,3,4,5,6} + {0;1;2;3;4;5}*7</definedName>
    <definedName name="DaysAndWeeks" localSheetId="5">{0,1,2,3,4,5,6} + {0;1;2;3;4;5}*7</definedName>
    <definedName name="DaysAndWeeks" localSheetId="1">{0,1,2,3,4,5,6} + {0;1;2;3;4;5}*7</definedName>
    <definedName name="DaysAndWeeks" localSheetId="2">{0,1,2,3,4,5,6} + {0;1;2;3;4;5}*7</definedName>
    <definedName name="DaysAndWeeks" localSheetId="7">{0,1,2,3,4,5,6} + {0;1;2;3;4;5}*7</definedName>
    <definedName name="DaysAndWeeks" localSheetId="6">{0,1,2,3,4,5,6} + {0;1;2;3;4;5}*7</definedName>
    <definedName name="DaysAndWeeks" localSheetId="8">{0,1,2,3,4,5,6} + {0;1;2;3;4;5}*7</definedName>
    <definedName name="DaysAndWeeks" localSheetId="0">{0,1,2,3,4,5,6} + {0;1;2;3;4;5}*7</definedName>
    <definedName name="DaysAndWeeks">{0,1,2,3,4,5,6} + {0;1;2;3;4;5}*7</definedName>
    <definedName name="DecSun1" localSheetId="3">DATEVALUE("12/1/"&amp;#REF!)-WEEKDAY(DATEVALUE("12/1/"&amp;#REF!))+1</definedName>
    <definedName name="DecSun1" localSheetId="4">DATEVALUE("12/1/"&amp;#REF!)-WEEKDAY(DATEVALUE("12/1/"&amp;#REF!))+1</definedName>
    <definedName name="DecSun1" localSheetId="5">DATEVALUE("12/1/"&amp;#REF!)-WEEKDAY(DATEVALUE("12/1/"&amp;#REF!))+1</definedName>
    <definedName name="DecSun1" localSheetId="1">DATEVALUE("12/1/"&amp;#REF!)-WEEKDAY(DATEVALUE("12/1/"&amp;#REF!))+1</definedName>
    <definedName name="DecSun1" localSheetId="2">DATEVALUE("12/1/"&amp;#REF!)-WEEKDAY(DATEVALUE("12/1/"&amp;#REF!))+1</definedName>
    <definedName name="DecSun1" localSheetId="7">DATEVALUE("12/1/"&amp;#REF!)-WEEKDAY(DATEVALUE("12/1/"&amp;#REF!))+1</definedName>
    <definedName name="DecSun1" localSheetId="6">DATEVALUE("12/1/"&amp;#REF!)-WEEKDAY(DATEVALUE("12/1/"&amp;#REF!))+1</definedName>
    <definedName name="DecSun1" localSheetId="8">DATEVALUE("12/1/"&amp;#REF!)-WEEKDAY(DATEVALUE("12/1/"&amp;#REF!))+1</definedName>
    <definedName name="DecSun1" localSheetId="0">DATEVALUE("12/1/"&amp;#REF!)-WEEKDAY(DATEVALUE("12/1/"&amp;#REF!))+1</definedName>
    <definedName name="DecSun1">DATEVALUE("12/1/"&amp;#REF!)-WEEKDAY(DATEVALUE("12/1/"&amp;#REF!))+1</definedName>
    <definedName name="ER">"#REF!"</definedName>
    <definedName name="_xlnm.Extract" localSheetId="3">#REF!</definedName>
    <definedName name="_xlnm.Extract" localSheetId="4">#REF!</definedName>
    <definedName name="_xlnm.Extract" localSheetId="5">#REF!</definedName>
    <definedName name="_xlnm.Extract" localSheetId="1">#REF!</definedName>
    <definedName name="_xlnm.Extract" localSheetId="2">#REF!</definedName>
    <definedName name="_xlnm.Extract" localSheetId="7">#REF!</definedName>
    <definedName name="_xlnm.Extract" localSheetId="6">#REF!</definedName>
    <definedName name="_xlnm.Extract" localSheetId="8">#REF!</definedName>
    <definedName name="_xlnm.Extract" localSheetId="0">#REF!</definedName>
    <definedName name="_xlnm.Extract">#REF!</definedName>
    <definedName name="FebSun1" localSheetId="3">DATEVALUE("2/1/"&amp;#REF!)-WEEKDAY(DATEVALUE("2/1/"&amp;#REF!))+1</definedName>
    <definedName name="FebSun1" localSheetId="4">DATEVALUE("2/1/"&amp;#REF!)-WEEKDAY(DATEVALUE("2/1/"&amp;#REF!))+1</definedName>
    <definedName name="FebSun1" localSheetId="5">DATEVALUE("2/1/"&amp;#REF!)-WEEKDAY(DATEVALUE("2/1/"&amp;#REF!))+1</definedName>
    <definedName name="FebSun1" localSheetId="1">DATEVALUE("2/1/"&amp;#REF!)-WEEKDAY(DATEVALUE("2/1/"&amp;#REF!))+1</definedName>
    <definedName name="FebSun1" localSheetId="2">DATEVALUE("2/1/"&amp;#REF!)-WEEKDAY(DATEVALUE("2/1/"&amp;#REF!))+1</definedName>
    <definedName name="FebSun1" localSheetId="7">DATEVALUE("2/1/"&amp;#REF!)-WEEKDAY(DATEVALUE("2/1/"&amp;#REF!))+1</definedName>
    <definedName name="FebSun1" localSheetId="6">DATEVALUE("2/1/"&amp;#REF!)-WEEKDAY(DATEVALUE("2/1/"&amp;#REF!))+1</definedName>
    <definedName name="FebSun1" localSheetId="8">DATEVALUE("2/1/"&amp;#REF!)-WEEKDAY(DATEVALUE("2/1/"&amp;#REF!))+1</definedName>
    <definedName name="FebSun1" localSheetId="0">DATEVALUE("2/1/"&amp;#REF!)-WEEKDAY(DATEVALUE("2/1/"&amp;#REF!))+1</definedName>
    <definedName name="FebSun1">DATEVALUE("2/1/"&amp;#REF!)-WEEKDAY(DATEVALUE("2/1/"&amp;#REF!))+1</definedName>
    <definedName name="JanSun1" localSheetId="3">DATEVALUE("1/1/"&amp;#REF!)-WEEKDAY(DATEVALUE("1/1/"&amp;#REF!))+1</definedName>
    <definedName name="JanSun1" localSheetId="4">DATEVALUE("1/1/"&amp;#REF!)-WEEKDAY(DATEVALUE("1/1/"&amp;#REF!))+1</definedName>
    <definedName name="JanSun1" localSheetId="5">DATEVALUE("1/1/"&amp;#REF!)-WEEKDAY(DATEVALUE("1/1/"&amp;#REF!))+1</definedName>
    <definedName name="JanSun1" localSheetId="1">DATEVALUE("1/1/"&amp;#REF!)-WEEKDAY(DATEVALUE("1/1/"&amp;#REF!))+1</definedName>
    <definedName name="JanSun1" localSheetId="2">DATEVALUE("1/1/"&amp;#REF!)-WEEKDAY(DATEVALUE("1/1/"&amp;#REF!))+1</definedName>
    <definedName name="JanSun1" localSheetId="7">DATEVALUE("1/1/"&amp;#REF!)-WEEKDAY(DATEVALUE("1/1/"&amp;#REF!))+1</definedName>
    <definedName name="JanSun1" localSheetId="6">DATEVALUE("1/1/"&amp;#REF!)-WEEKDAY(DATEVALUE("1/1/"&amp;#REF!))+1</definedName>
    <definedName name="JanSun1" localSheetId="8">DATEVALUE("1/1/"&amp;#REF!)-WEEKDAY(DATEVALUE("1/1/"&amp;#REF!))+1</definedName>
    <definedName name="JanSun1" localSheetId="0">DATEVALUE("1/1/"&amp;#REF!)-WEEKDAY(DATEVALUE("1/1/"&amp;#REF!))+1</definedName>
    <definedName name="JanSun1">DATEVALUE("1/1/"&amp;#REF!)-WEEKDAY(DATEVALUE("1/1/"&amp;#REF!))+1</definedName>
    <definedName name="JulSun1" localSheetId="3">DATEVALUE("7/1/"&amp;#REF!)-WEEKDAY(DATEVALUE("7/1/"&amp;#REF!))+1</definedName>
    <definedName name="JulSun1" localSheetId="4">DATEVALUE("7/1/"&amp;#REF!)-WEEKDAY(DATEVALUE("7/1/"&amp;#REF!))+1</definedName>
    <definedName name="JulSun1" localSheetId="5">DATEVALUE("7/1/"&amp;#REF!)-WEEKDAY(DATEVALUE("7/1/"&amp;#REF!))+1</definedName>
    <definedName name="JulSun1" localSheetId="1">DATEVALUE("7/1/"&amp;#REF!)-WEEKDAY(DATEVALUE("7/1/"&amp;#REF!))+1</definedName>
    <definedName name="JulSun1" localSheetId="2">DATEVALUE("7/1/"&amp;#REF!)-WEEKDAY(DATEVALUE("7/1/"&amp;#REF!))+1</definedName>
    <definedName name="JulSun1" localSheetId="7">DATEVALUE("7/1/"&amp;#REF!)-WEEKDAY(DATEVALUE("7/1/"&amp;#REF!))+1</definedName>
    <definedName name="JulSun1" localSheetId="6">DATEVALUE("7/1/"&amp;#REF!)-WEEKDAY(DATEVALUE("7/1/"&amp;#REF!))+1</definedName>
    <definedName name="JulSun1" localSheetId="8">DATEVALUE("7/1/"&amp;#REF!)-WEEKDAY(DATEVALUE("7/1/"&amp;#REF!))+1</definedName>
    <definedName name="JulSun1" localSheetId="0">DATEVALUE("7/1/"&amp;#REF!)-WEEKDAY(DATEVALUE("7/1/"&amp;#REF!))+1</definedName>
    <definedName name="JulSun1">DATEVALUE("7/1/"&amp;#REF!)-WEEKDAY(DATEVALUE("7/1/"&amp;#REF!))+1</definedName>
    <definedName name="JunSun1" localSheetId="3">DATEVALUE("6/1/"&amp;#REF!)-WEEKDAY(DATEVALUE("6/1/"&amp;#REF!))+1</definedName>
    <definedName name="JunSun1" localSheetId="4">DATEVALUE("6/1/"&amp;#REF!)-WEEKDAY(DATEVALUE("6/1/"&amp;#REF!))+1</definedName>
    <definedName name="JunSun1" localSheetId="5">DATEVALUE("6/1/"&amp;#REF!)-WEEKDAY(DATEVALUE("6/1/"&amp;#REF!))+1</definedName>
    <definedName name="JunSun1" localSheetId="1">DATEVALUE("6/1/"&amp;#REF!)-WEEKDAY(DATEVALUE("6/1/"&amp;#REF!))+1</definedName>
    <definedName name="JunSun1" localSheetId="2">DATEVALUE("6/1/"&amp;#REF!)-WEEKDAY(DATEVALUE("6/1/"&amp;#REF!))+1</definedName>
    <definedName name="JunSun1" localSheetId="7">DATEVALUE("6/1/"&amp;#REF!)-WEEKDAY(DATEVALUE("6/1/"&amp;#REF!))+1</definedName>
    <definedName name="JunSun1" localSheetId="6">DATEVALUE("6/1/"&amp;#REF!)-WEEKDAY(DATEVALUE("6/1/"&amp;#REF!))+1</definedName>
    <definedName name="JunSun1" localSheetId="8">DATEVALUE("6/1/"&amp;#REF!)-WEEKDAY(DATEVALUE("6/1/"&amp;#REF!))+1</definedName>
    <definedName name="JunSun1" localSheetId="0">DATEVALUE("6/1/"&amp;#REF!)-WEEKDAY(DATEVALUE("6/1/"&amp;#REF!))+1</definedName>
    <definedName name="JunSun1">DATEVALUE("6/1/"&amp;#REF!)-WEEKDAY(DATEVALUE("6/1/"&amp;#REF!))+1</definedName>
    <definedName name="LIFE" localSheetId="3">#REF!</definedName>
    <definedName name="LIFE" localSheetId="4">#REF!</definedName>
    <definedName name="LIFE" localSheetId="5">#REF!</definedName>
    <definedName name="LIFE" localSheetId="1">#REF!</definedName>
    <definedName name="LIFE" localSheetId="2">#REF!</definedName>
    <definedName name="LIFE" localSheetId="7">#REF!</definedName>
    <definedName name="LIFE" localSheetId="6">#REF!</definedName>
    <definedName name="LIFE" localSheetId="8">#REF!</definedName>
    <definedName name="LIFE" localSheetId="0">#REF!</definedName>
    <definedName name="LIFE">#REF!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rSun1" localSheetId="3">DATEVALUE("3/1/"&amp;#REF!)-WEEKDAY(DATEVALUE("3/1/"&amp;#REF!))+1</definedName>
    <definedName name="MarSun1" localSheetId="4">DATEVALUE("3/1/"&amp;#REF!)-WEEKDAY(DATEVALUE("3/1/"&amp;#REF!))+1</definedName>
    <definedName name="MarSun1" localSheetId="5">DATEVALUE("3/1/"&amp;#REF!)-WEEKDAY(DATEVALUE("3/1/"&amp;#REF!))+1</definedName>
    <definedName name="MarSun1" localSheetId="1">DATEVALUE("3/1/"&amp;#REF!)-WEEKDAY(DATEVALUE("3/1/"&amp;#REF!))+1</definedName>
    <definedName name="MarSun1" localSheetId="2">DATEVALUE("3/1/"&amp;#REF!)-WEEKDAY(DATEVALUE("3/1/"&amp;#REF!))+1</definedName>
    <definedName name="MarSun1" localSheetId="7">DATEVALUE("3/1/"&amp;#REF!)-WEEKDAY(DATEVALUE("3/1/"&amp;#REF!))+1</definedName>
    <definedName name="MarSun1" localSheetId="6">DATEVALUE("3/1/"&amp;#REF!)-WEEKDAY(DATEVALUE("3/1/"&amp;#REF!))+1</definedName>
    <definedName name="MarSun1" localSheetId="8">DATEVALUE("3/1/"&amp;#REF!)-WEEKDAY(DATEVALUE("3/1/"&amp;#REF!))+1</definedName>
    <definedName name="MarSun1" localSheetId="0">DATEVALUE("3/1/"&amp;#REF!)-WEEKDAY(DATEVALUE("3/1/"&amp;#REF!))+1</definedName>
    <definedName name="MarSun1">DATEVALUE("3/1/"&amp;#REF!)-WEEKDAY(DATEVALUE("3/1/"&amp;#REF!))+1</definedName>
    <definedName name="MayMondays" localSheetId="3">SUM((WEEKDAY(DATE(#REF!,5,(ROW(INDIRECT("1:"&amp;DAY(DATE(#REF!,5+1,0)))))))=2)*1)</definedName>
    <definedName name="MayMondays" localSheetId="4">SUM((WEEKDAY(DATE(#REF!,5,(ROW(INDIRECT("1:"&amp;DAY(DATE(#REF!,5+1,0)))))))=2)*1)</definedName>
    <definedName name="MayMondays" localSheetId="5">SUM((WEEKDAY(DATE(#REF!,5,(ROW(INDIRECT("1:"&amp;DAY(DATE(#REF!,5+1,0)))))))=2)*1)</definedName>
    <definedName name="MayMondays" localSheetId="1">SUM((WEEKDAY(DATE(#REF!,5,(ROW(INDIRECT("1:"&amp;DAY(DATE(#REF!,5+1,0)))))))=2)*1)</definedName>
    <definedName name="MayMondays" localSheetId="2">SUM((WEEKDAY(DATE('Income Statement 23-24'!CalYear,5,(ROW(INDIRECT("1:"&amp;DAY(DATE('Income Statement 23-24'!CalYear,5+1,0)))))))=2)*1)</definedName>
    <definedName name="MayMondays" localSheetId="7">SUM((WEEKDAY(DATE(#REF!,5,(ROW(INDIRECT("1:"&amp;DAY(DATE(#REF!,5+1,0)))))))=2)*1)</definedName>
    <definedName name="MayMondays" localSheetId="6">SUM((WEEKDAY(DATE('Members 23-24 Nos'!CalYear,5,(ROW(INDIRECT("1:"&amp;DAY(DATE('Members 23-24 Nos'!CalYear,5+1,0)))))))=2)*1)</definedName>
    <definedName name="MayMondays" localSheetId="8">SUM((WEEKDAY(DATE(#REF!,5,(ROW(INDIRECT("1:"&amp;DAY(DATE(#REF!,5+1,0)))))))=2)*1)</definedName>
    <definedName name="MayMondays" localSheetId="0">SUM((WEEKDAY(DATE(#REF!,5,(ROW(INDIRECT("1:"&amp;DAY(DATE(#REF!,5+1,0)))))))=2)*1)</definedName>
    <definedName name="MayMondays">SUM((WEEKDAY(DATE(CalYear,5,(ROW(INDIRECT("1:"&amp;DAY(DATE(CalYear,5+1,0)))))))=2)*1)</definedName>
    <definedName name="MaySun1" localSheetId="3">DATEVALUE("5/1/"&amp;#REF!)-WEEKDAY(DATEVALUE("5/1/"&amp;#REF!))+1</definedName>
    <definedName name="MaySun1" localSheetId="4">DATEVALUE("5/1/"&amp;#REF!)-WEEKDAY(DATEVALUE("5/1/"&amp;#REF!))+1</definedName>
    <definedName name="MaySun1" localSheetId="5">DATEVALUE("5/1/"&amp;#REF!)-WEEKDAY(DATEVALUE("5/1/"&amp;#REF!))+1</definedName>
    <definedName name="MaySun1" localSheetId="1">DATEVALUE("5/1/"&amp;#REF!)-WEEKDAY(DATEVALUE("5/1/"&amp;#REF!))+1</definedName>
    <definedName name="MaySun1" localSheetId="2">DATEVALUE("5/1/"&amp;#REF!)-WEEKDAY(DATEVALUE("5/1/"&amp;#REF!))+1</definedName>
    <definedName name="MaySun1" localSheetId="7">DATEVALUE("5/1/"&amp;#REF!)-WEEKDAY(DATEVALUE("5/1/"&amp;#REF!))+1</definedName>
    <definedName name="MaySun1" localSheetId="6">DATEVALUE("5/1/"&amp;#REF!)-WEEKDAY(DATEVALUE("5/1/"&amp;#REF!))+1</definedName>
    <definedName name="MaySun1" localSheetId="8">DATEVALUE("5/1/"&amp;#REF!)-WEEKDAY(DATEVALUE("5/1/"&amp;#REF!))+1</definedName>
    <definedName name="MaySun1" localSheetId="0">DATEVALUE("5/1/"&amp;#REF!)-WEEKDAY(DATEVALUE("5/1/"&amp;#REF!))+1</definedName>
    <definedName name="MaySun1">DATEVALUE("5/1/"&amp;#REF!)-WEEKDAY(DATEVALUE("5/1/"&amp;#REF!))+1</definedName>
    <definedName name="Minutes" localSheetId="3">#REF! + DateOfFirst - WEEKDAY(DateOfFirst,2)</definedName>
    <definedName name="Minutes" localSheetId="4">#REF! + DateOfFirst - WEEKDAY(DateOfFirst,2)</definedName>
    <definedName name="Minutes" localSheetId="5">#REF! + DateOfFirst - WEEKDAY(DateOfFirst,2)</definedName>
    <definedName name="Minutes" localSheetId="1">#REF! + DateOfFirst - WEEKDAY(DateOfFirst,2)</definedName>
    <definedName name="Minutes" localSheetId="2">#REF! + DateOfFirst - WEEKDAY(DateOfFirst,2)</definedName>
    <definedName name="Minutes" localSheetId="7">#REF! + DateOfFirst - WEEKDAY(DateOfFirst,2)</definedName>
    <definedName name="Minutes" localSheetId="6">#REF! + DateOfFirst - WEEKDAY(DateOfFirst,2)</definedName>
    <definedName name="Minutes" localSheetId="8">#REF! + DateOfFirst - WEEKDAY(DateOfFirst,2)</definedName>
    <definedName name="Minutes" localSheetId="0">#REF! + DateOfFirst - WEEKDAY(DateOfFirst,2)</definedName>
    <definedName name="Minutes">#REF! + DateOfFirst - WEEKDAY(DateOfFirst,2)</definedName>
    <definedName name="NovSun1" localSheetId="3">DATEVALUE("11/1/"&amp;#REF!)-WEEKDAY(DATEVALUE("11/1/"&amp;#REF!))+1</definedName>
    <definedName name="NovSun1" localSheetId="4">DATEVALUE("11/1/"&amp;#REF!)-WEEKDAY(DATEVALUE("11/1/"&amp;#REF!))+1</definedName>
    <definedName name="NovSun1" localSheetId="5">DATEVALUE("11/1/"&amp;#REF!)-WEEKDAY(DATEVALUE("11/1/"&amp;#REF!))+1</definedName>
    <definedName name="NovSun1" localSheetId="1">DATEVALUE("11/1/"&amp;#REF!)-WEEKDAY(DATEVALUE("11/1/"&amp;#REF!))+1</definedName>
    <definedName name="NovSun1" localSheetId="2">DATEVALUE("11/1/"&amp;#REF!)-WEEKDAY(DATEVALUE("11/1/"&amp;#REF!))+1</definedName>
    <definedName name="NovSun1" localSheetId="7">DATEVALUE("11/1/"&amp;#REF!)-WEEKDAY(DATEVALUE("11/1/"&amp;#REF!))+1</definedName>
    <definedName name="NovSun1" localSheetId="6">DATEVALUE("11/1/"&amp;#REF!)-WEEKDAY(DATEVALUE("11/1/"&amp;#REF!))+1</definedName>
    <definedName name="NovSun1" localSheetId="8">DATEVALUE("11/1/"&amp;#REF!)-WEEKDAY(DATEVALUE("11/1/"&amp;#REF!))+1</definedName>
    <definedName name="NovSun1" localSheetId="0">DATEVALUE("11/1/"&amp;#REF!)-WEEKDAY(DATEVALUE("11/1/"&amp;#REF!))+1</definedName>
    <definedName name="NovSun1">DATEVALUE("11/1/"&amp;#REF!)-WEEKDAY(DATEVALUE("11/1/"&amp;#REF!))+1</definedName>
    <definedName name="Observed" localSheetId="3">#REF!</definedName>
    <definedName name="Observed" localSheetId="4">#REF!</definedName>
    <definedName name="Observed" localSheetId="5">#REF!</definedName>
    <definedName name="Observed" localSheetId="1">#REF!</definedName>
    <definedName name="Observed" localSheetId="2">#REF!</definedName>
    <definedName name="Observed" localSheetId="7">#REF!</definedName>
    <definedName name="Observed" localSheetId="6">#REF!</definedName>
    <definedName name="Observed" localSheetId="8">#REF!</definedName>
    <definedName name="Observed" localSheetId="0">#REF!</definedName>
    <definedName name="Observed">#REF!</definedName>
    <definedName name="OctSun1" localSheetId="3">DATEVALUE("10/1/"&amp;#REF!)-WEEKDAY(DATEVALUE("10/1/"&amp;#REF!))+1</definedName>
    <definedName name="OctSun1" localSheetId="4">DATEVALUE("10/1/"&amp;#REF!)-WEEKDAY(DATEVALUE("10/1/"&amp;#REF!))+1</definedName>
    <definedName name="OctSun1" localSheetId="5">DATEVALUE("10/1/"&amp;#REF!)-WEEKDAY(DATEVALUE("10/1/"&amp;#REF!))+1</definedName>
    <definedName name="OctSun1" localSheetId="1">DATEVALUE("10/1/"&amp;#REF!)-WEEKDAY(DATEVALUE("10/1/"&amp;#REF!))+1</definedName>
    <definedName name="OctSun1" localSheetId="2">DATEVALUE("10/1/"&amp;#REF!)-WEEKDAY(DATEVALUE("10/1/"&amp;#REF!))+1</definedName>
    <definedName name="OctSun1" localSheetId="7">DATEVALUE("10/1/"&amp;#REF!)-WEEKDAY(DATEVALUE("10/1/"&amp;#REF!))+1</definedName>
    <definedName name="OctSun1" localSheetId="6">DATEVALUE("10/1/"&amp;#REF!)-WEEKDAY(DATEVALUE("10/1/"&amp;#REF!))+1</definedName>
    <definedName name="OctSun1" localSheetId="8">DATEVALUE("10/1/"&amp;#REF!)-WEEKDAY(DATEVALUE("10/1/"&amp;#REF!))+1</definedName>
    <definedName name="OctSun1" localSheetId="0">DATEVALUE("10/1/"&amp;#REF!)-WEEKDAY(DATEVALUE("10/1/"&amp;#REF!))+1</definedName>
    <definedName name="OctSun1">DATEVALUE("10/1/"&amp;#REF!)-WEEKDAY(DATEVALUE("10/1/"&amp;#REF!))+1</definedName>
    <definedName name="_xlnm.Print_Area" localSheetId="3">'Balance Sheet 23-24'!$A$1:$K$89</definedName>
    <definedName name="_xlnm.Print_Area" localSheetId="4">'Banking &amp; InvestM 23-24'!$A$1:$O$73</definedName>
    <definedName name="_xlnm.Print_Area" localSheetId="5">'Capital 23-24'!$A$1:$I$86</definedName>
    <definedName name="_xlnm.Print_Area" localSheetId="1">'Fiscal Highlights 23-24'!$A$1:$D$50</definedName>
    <definedName name="_xlnm.Print_Area" localSheetId="2">'Income Statement 23-24'!$A$1:$G$283</definedName>
    <definedName name="_xlnm.Print_Area" localSheetId="7">'MemberS 23-24 Lifetime'!$A$1:$H$61</definedName>
    <definedName name="_xlnm.Print_Area" localSheetId="6">'Members 23-24 Nos'!$A$1:$S$58</definedName>
    <definedName name="_xlnm.Print_Area" localSheetId="8">'MemberS Intermediates 23-24'!$A$1:$J$59</definedName>
    <definedName name="_xlnm.Print_Area" localSheetId="0">'Snapshot 23-24'!$A$1:$H$83</definedName>
    <definedName name="_xlnm.Print_Titles" localSheetId="5">'Capital 23-24'!$1:$4</definedName>
    <definedName name="_xlnm.Print_Titles" localSheetId="1">'Fiscal Highlights 23-24'!$2:$5</definedName>
    <definedName name="_xlnm.Print_Titles" localSheetId="2">'Income Statement 23-24'!$1:$9</definedName>
    <definedName name="_xlnm.Print_Titles" localSheetId="7">'MemberS 23-24 Lifetime'!$1:$5</definedName>
    <definedName name="_xlnm.Print_Titles" localSheetId="6">'Members 23-24 Nos'!$1:$8</definedName>
    <definedName name="_xlnm.Print_Titles" localSheetId="8">'MemberS Intermediates 23-24'!$A:$D,'MemberS Intermediates 23-24'!$1:$9</definedName>
    <definedName name="_xlnm.Print_Titles" localSheetId="0">'Snapshot 23-24'!$2:$8</definedName>
    <definedName name="RI">"#REF!"</definedName>
    <definedName name="SENIOR" localSheetId="3">#REF!</definedName>
    <definedName name="SENIOR" localSheetId="4">#REF!</definedName>
    <definedName name="SENIOR" localSheetId="5">#REF!</definedName>
    <definedName name="SENIOR" localSheetId="1">#REF!</definedName>
    <definedName name="SENIOR" localSheetId="2">#REF!</definedName>
    <definedName name="SENIOR" localSheetId="7">#REF!</definedName>
    <definedName name="SENIOR" localSheetId="6">#REF!</definedName>
    <definedName name="SENIOR" localSheetId="8">#REF!</definedName>
    <definedName name="SENIOR" localSheetId="0">#REF!</definedName>
    <definedName name="SENIOR">#REF!</definedName>
    <definedName name="SepSun1" localSheetId="3">DATEVALUE("9/1/"&amp;#REF!)-WEEKDAY(DATEVALUE("9/1/"&amp;#REF!))+1</definedName>
    <definedName name="SepSun1" localSheetId="4">DATEVALUE("9/1/"&amp;#REF!)-WEEKDAY(DATEVALUE("9/1/"&amp;#REF!))+1</definedName>
    <definedName name="SepSun1" localSheetId="5">DATEVALUE("9/1/"&amp;#REF!)-WEEKDAY(DATEVALUE("9/1/"&amp;#REF!))+1</definedName>
    <definedName name="SepSun1" localSheetId="1">DATEVALUE("9/1/"&amp;#REF!)-WEEKDAY(DATEVALUE("9/1/"&amp;#REF!))+1</definedName>
    <definedName name="SepSun1" localSheetId="2">DATEVALUE("9/1/"&amp;#REF!)-WEEKDAY(DATEVALUE("9/1/"&amp;#REF!))+1</definedName>
    <definedName name="SepSun1" localSheetId="7">DATEVALUE("9/1/"&amp;#REF!)-WEEKDAY(DATEVALUE("9/1/"&amp;#REF!))+1</definedName>
    <definedName name="SepSun1" localSheetId="6">DATEVALUE("9/1/"&amp;#REF!)-WEEKDAY(DATEVALUE("9/1/"&amp;#REF!))+1</definedName>
    <definedName name="SepSun1" localSheetId="8">DATEVALUE("9/1/"&amp;#REF!)-WEEKDAY(DATEVALUE("9/1/"&amp;#REF!))+1</definedName>
    <definedName name="SepSun1" localSheetId="0">DATEVALUE("9/1/"&amp;#REF!)-WEEKDAY(DATEVALUE("9/1/"&amp;#REF!))+1</definedName>
    <definedName name="SepSun1">DATEVALUE("9/1/"&amp;#REF!)-WEEKDAY(DATEVALUE("9/1/"&amp;#REF!))+1</definedName>
    <definedName name="ShowHolidays" localSheetId="3">#REF!</definedName>
    <definedName name="ShowHolidays" localSheetId="4">#REF!</definedName>
    <definedName name="ShowHolidays" localSheetId="5">#REF!</definedName>
    <definedName name="ShowHolidays" localSheetId="1">#REF!</definedName>
    <definedName name="ShowHolidays" localSheetId="2">#REF!</definedName>
    <definedName name="ShowHolidays" localSheetId="7">#REF!</definedName>
    <definedName name="ShowHolidays" localSheetId="6">#REF!</definedName>
    <definedName name="ShowHolidays" localSheetId="8">#REF!</definedName>
    <definedName name="ShowHolidays" localSheetId="0">#REF!</definedName>
    <definedName name="ShowHolidays">#REF!</definedName>
    <definedName name="ShowObserved" localSheetId="3">#REF!</definedName>
    <definedName name="ShowObserved" localSheetId="4">#REF!</definedName>
    <definedName name="ShowObserved" localSheetId="5">#REF!</definedName>
    <definedName name="ShowObserved" localSheetId="1">#REF!</definedName>
    <definedName name="ShowObserved" localSheetId="2">#REF!</definedName>
    <definedName name="ShowObserved" localSheetId="7">#REF!</definedName>
    <definedName name="ShowObserved" localSheetId="6">#REF!</definedName>
    <definedName name="ShowObserved" localSheetId="8">#REF!</definedName>
    <definedName name="ShowObserved" localSheetId="0">#REF!</definedName>
    <definedName name="ShowObserved">#REF!</definedName>
    <definedName name="SOCIAL" localSheetId="3">#REF!</definedName>
    <definedName name="SOCIAL" localSheetId="4">#REF!</definedName>
    <definedName name="SOCIAL" localSheetId="5">#REF!</definedName>
    <definedName name="SOCIAL" localSheetId="1">#REF!</definedName>
    <definedName name="SOCIAL" localSheetId="2">#REF!</definedName>
    <definedName name="SOCIAL" localSheetId="7">#REF!</definedName>
    <definedName name="SOCIAL" localSheetId="6">#REF!</definedName>
    <definedName name="SOCIAL" localSheetId="8">#REF!</definedName>
    <definedName name="SOCIAL" localSheetId="0">#REF!</definedName>
    <definedName name="SOCIAL">#REF!</definedName>
    <definedName name="WeekStart" localSheetId="3">#REF!</definedName>
    <definedName name="WeekStart" localSheetId="4">#REF!</definedName>
    <definedName name="WeekStart" localSheetId="5">#REF!</definedName>
    <definedName name="WeekStart" localSheetId="1">#REF!</definedName>
    <definedName name="WeekStart" localSheetId="2">#REF!</definedName>
    <definedName name="WeekStart" localSheetId="7">#REF!</definedName>
    <definedName name="WeekStart" localSheetId="6">#REF!</definedName>
    <definedName name="WeekStart" localSheetId="8">#REF!</definedName>
    <definedName name="WeekStart" localSheetId="0">#REF!</definedName>
    <definedName name="WeekStart">#REF!</definedName>
    <definedName name="wrn.ALL._.REPORTS." localSheetId="3" hidden="1">{"budget totals by year",#N/A,TRUE,"budg2005";"maint labor by year",#N/A,TRUE,"maint labor";"budget by month",#N/A,TRUE,"budg2005";"maint labor by month",#N/A,TRUE,"maint labor"}</definedName>
    <definedName name="wrn.ALL._.REPORTS." localSheetId="4" hidden="1">{"budget totals by year",#N/A,TRUE,"budg2005";"maint labor by year",#N/A,TRUE,"maint labor";"budget by month",#N/A,TRUE,"budg2005";"maint labor by month",#N/A,TRUE,"maint labor"}</definedName>
    <definedName name="wrn.ALL._.REPORTS." localSheetId="5" hidden="1">{"budget totals by year",#N/A,TRUE,"budg2005";"maint labor by year",#N/A,TRUE,"maint labor";"budget by month",#N/A,TRUE,"budg2005";"maint labor by month",#N/A,TRUE,"maint labor"}</definedName>
    <definedName name="wrn.ALL._.REPORTS." localSheetId="1" hidden="1">{"budget totals by year",#N/A,TRUE,"budg2005";"maint labor by year",#N/A,TRUE,"maint labor";"budget by month",#N/A,TRUE,"budg2005";"maint labor by month",#N/A,TRUE,"maint labor"}</definedName>
    <definedName name="wrn.ALL._.REPORTS." localSheetId="2" hidden="1">{"budget totals by year",#N/A,TRUE,"budg2005";"maint labor by year",#N/A,TRUE,"maint labor";"budget by month",#N/A,TRUE,"budg2005";"maint labor by month",#N/A,TRUE,"maint labor"}</definedName>
    <definedName name="wrn.ALL._.REPORTS." localSheetId="7" hidden="1">{"budget totals by year",#N/A,TRUE,"budg2005";"maint labor by year",#N/A,TRUE,"maint labor";"budget by month",#N/A,TRUE,"budg2005";"maint labor by month",#N/A,TRUE,"maint labor"}</definedName>
    <definedName name="wrn.ALL._.REPORTS." localSheetId="6" hidden="1">{"budget totals by year",#N/A,TRUE,"budg2005";"maint labor by year",#N/A,TRUE,"maint labor";"budget by month",#N/A,TRUE,"budg2005";"maint labor by month",#N/A,TRUE,"maint labor"}</definedName>
    <definedName name="wrn.ALL._.REPORTS." localSheetId="8" hidden="1">{"budget totals by year",#N/A,TRUE,"budg2005";"maint labor by year",#N/A,TRUE,"maint labor";"budget by month",#N/A,TRUE,"budg2005";"maint labor by month",#N/A,TRUE,"maint labor"}</definedName>
    <definedName name="wrn.ALL._.REPORTS." localSheetId="0" hidden="1">{"budget totals by year",#N/A,TRUE,"budg2005";"maint labor by year",#N/A,TRUE,"maint labor";"budget by month",#N/A,TRUE,"budg2005";"maint labor by month",#N/A,TRUE,"maint labor"}</definedName>
    <definedName name="wrn.ALL._.REPORTS." hidden="1">{"budget totals by year",#N/A,TRUE,"budg2005";"maint labor by year",#N/A,TRUE,"maint labor";"budget by month",#N/A,TRUE,"budg2005";"maint labor by month",#N/A,TRUE,"maint labor"}</definedName>
    <definedName name="wrn.BY._.MONTH." localSheetId="3" hidden="1">{"budget by month",#N/A,TRUE,"budg2005";"maint labor by month",#N/A,TRUE,"maint labor"}</definedName>
    <definedName name="wrn.BY._.MONTH." localSheetId="4" hidden="1">{"budget by month",#N/A,TRUE,"budg2005";"maint labor by month",#N/A,TRUE,"maint labor"}</definedName>
    <definedName name="wrn.BY._.MONTH." localSheetId="5" hidden="1">{"budget by month",#N/A,TRUE,"budg2005";"maint labor by month",#N/A,TRUE,"maint labor"}</definedName>
    <definedName name="wrn.BY._.MONTH." localSheetId="1" hidden="1">{"budget by month",#N/A,TRUE,"budg2005";"maint labor by month",#N/A,TRUE,"maint labor"}</definedName>
    <definedName name="wrn.BY._.MONTH." localSheetId="2" hidden="1">{"budget by month",#N/A,TRUE,"budg2005";"maint labor by month",#N/A,TRUE,"maint labor"}</definedName>
    <definedName name="wrn.BY._.MONTH." localSheetId="7" hidden="1">{"budget by month",#N/A,TRUE,"budg2005";"maint labor by month",#N/A,TRUE,"maint labor"}</definedName>
    <definedName name="wrn.BY._.MONTH." localSheetId="6" hidden="1">{"budget by month",#N/A,TRUE,"budg2005";"maint labor by month",#N/A,TRUE,"maint labor"}</definedName>
    <definedName name="wrn.BY._.MONTH." localSheetId="8" hidden="1">{"budget by month",#N/A,TRUE,"budg2005";"maint labor by month",#N/A,TRUE,"maint labor"}</definedName>
    <definedName name="wrn.BY._.MONTH." localSheetId="0" hidden="1">{"budget by month",#N/A,TRUE,"budg2005";"maint labor by month",#N/A,TRUE,"maint labor"}</definedName>
    <definedName name="wrn.BY._.MONTH." hidden="1">{"budget by month",#N/A,TRUE,"budg2005";"maint labor by month",#N/A,TRUE,"maint labor"}</definedName>
    <definedName name="wrn.TOTALS._.BY._.YEAR." localSheetId="3" hidden="1">{"budget totals by year",#N/A,TRUE,"budg2005";"maint labor by year",#N/A,TRUE,"maint labor"}</definedName>
    <definedName name="wrn.TOTALS._.BY._.YEAR." localSheetId="4" hidden="1">{"budget totals by year",#N/A,TRUE,"budg2005";"maint labor by year",#N/A,TRUE,"maint labor"}</definedName>
    <definedName name="wrn.TOTALS._.BY._.YEAR." localSheetId="5" hidden="1">{"budget totals by year",#N/A,TRUE,"budg2005";"maint labor by year",#N/A,TRUE,"maint labor"}</definedName>
    <definedName name="wrn.TOTALS._.BY._.YEAR." localSheetId="1" hidden="1">{"budget totals by year",#N/A,TRUE,"budg2005";"maint labor by year",#N/A,TRUE,"maint labor"}</definedName>
    <definedName name="wrn.TOTALS._.BY._.YEAR." localSheetId="2" hidden="1">{"budget totals by year",#N/A,TRUE,"budg2005";"maint labor by year",#N/A,TRUE,"maint labor"}</definedName>
    <definedName name="wrn.TOTALS._.BY._.YEAR." localSheetId="7" hidden="1">{"budget totals by year",#N/A,TRUE,"budg2005";"maint labor by year",#N/A,TRUE,"maint labor"}</definedName>
    <definedName name="wrn.TOTALS._.BY._.YEAR." localSheetId="6" hidden="1">{"budget totals by year",#N/A,TRUE,"budg2005";"maint labor by year",#N/A,TRUE,"maint labor"}</definedName>
    <definedName name="wrn.TOTALS._.BY._.YEAR." localSheetId="8" hidden="1">{"budget totals by year",#N/A,TRUE,"budg2005";"maint labor by year",#N/A,TRUE,"maint labor"}</definedName>
    <definedName name="wrn.TOTALS._.BY._.YEAR." localSheetId="0" hidden="1">{"budget totals by year",#N/A,TRUE,"budg2005";"maint labor by year",#N/A,TRUE,"maint labor"}</definedName>
    <definedName name="wrn.TOTALS._.BY._.YEAR." hidden="1">{"budget totals by year",#N/A,TRUE,"budg2005";"maint labor by year",#N/A,TRUE,"maint labor"}</definedName>
    <definedName name="Year" localSheetId="3">#REF!</definedName>
    <definedName name="Year" localSheetId="4">#REF!</definedName>
    <definedName name="Year" localSheetId="5">#REF!</definedName>
    <definedName name="Year" localSheetId="1">#REF!</definedName>
    <definedName name="Year" localSheetId="2">#REF!</definedName>
    <definedName name="Year" localSheetId="7">#REF!</definedName>
    <definedName name="Year" localSheetId="6">#REF!</definedName>
    <definedName name="Year" localSheetId="8">#REF!</definedName>
    <definedName name="Year" localSheetId="0">#REF!</definedName>
    <definedName name="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3" i="7" l="1"/>
  <c r="Q53" i="7"/>
  <c r="P53" i="7"/>
  <c r="O53" i="7"/>
  <c r="N53" i="7"/>
  <c r="M53" i="7"/>
  <c r="L53" i="7"/>
  <c r="K53" i="7"/>
  <c r="J53" i="7"/>
  <c r="I53" i="7"/>
  <c r="H53" i="7"/>
  <c r="G53" i="7"/>
  <c r="F53" i="7"/>
  <c r="D53" i="7"/>
  <c r="Q35" i="7"/>
  <c r="P35" i="7"/>
  <c r="O35" i="7"/>
  <c r="N35" i="7"/>
  <c r="M35" i="7"/>
  <c r="L35" i="7"/>
  <c r="H35" i="7"/>
  <c r="D35" i="7"/>
  <c r="M34" i="7"/>
  <c r="L34" i="7"/>
  <c r="K34" i="7"/>
  <c r="J34" i="7"/>
  <c r="I34" i="7"/>
  <c r="H34" i="7"/>
  <c r="G34" i="7"/>
  <c r="F34" i="7"/>
  <c r="R34" i="7" s="1"/>
  <c r="M33" i="7"/>
  <c r="L33" i="7"/>
  <c r="K33" i="7"/>
  <c r="K35" i="7" s="1"/>
  <c r="J33" i="7"/>
  <c r="J35" i="7" s="1"/>
  <c r="I33" i="7"/>
  <c r="I35" i="7" s="1"/>
  <c r="H33" i="7"/>
  <c r="G33" i="7"/>
  <c r="R33" i="7" s="1"/>
  <c r="F33" i="7"/>
  <c r="M32" i="7"/>
  <c r="L32" i="7"/>
  <c r="K32" i="7"/>
  <c r="J32" i="7"/>
  <c r="I32" i="7"/>
  <c r="H32" i="7"/>
  <c r="G32" i="7"/>
  <c r="F32" i="7"/>
  <c r="R32" i="7" s="1"/>
  <c r="M31" i="7"/>
  <c r="L31" i="7"/>
  <c r="K31" i="7"/>
  <c r="J31" i="7"/>
  <c r="I31" i="7"/>
  <c r="H31" i="7"/>
  <c r="G31" i="7"/>
  <c r="F31" i="7"/>
  <c r="R31" i="7" s="1"/>
  <c r="R30" i="7"/>
  <c r="M30" i="7"/>
  <c r="L30" i="7"/>
  <c r="K30" i="7"/>
  <c r="J30" i="7"/>
  <c r="I30" i="7"/>
  <c r="H30" i="7"/>
  <c r="G30" i="7"/>
  <c r="G35" i="7" s="1"/>
  <c r="F30" i="7"/>
  <c r="F35" i="7" s="1"/>
  <c r="I22" i="7"/>
  <c r="H22" i="7"/>
  <c r="G22" i="7"/>
  <c r="F22" i="7"/>
  <c r="J19" i="7"/>
  <c r="J22" i="7" s="1"/>
  <c r="I19" i="7"/>
  <c r="H19" i="7"/>
  <c r="Q18" i="7"/>
  <c r="Q19" i="7" s="1"/>
  <c r="Q22" i="7" s="1"/>
  <c r="P18" i="7"/>
  <c r="P19" i="7" s="1"/>
  <c r="P22" i="7" s="1"/>
  <c r="O18" i="7"/>
  <c r="O19" i="7" s="1"/>
  <c r="N18" i="7"/>
  <c r="N19" i="7" s="1"/>
  <c r="M18" i="7"/>
  <c r="R19" i="7" s="1"/>
  <c r="L18" i="7"/>
  <c r="L19" i="7" s="1"/>
  <c r="K18" i="7"/>
  <c r="K19" i="7" s="1"/>
  <c r="J18" i="7"/>
  <c r="I18" i="7"/>
  <c r="H18" i="7"/>
  <c r="G18" i="7"/>
  <c r="F18" i="7"/>
  <c r="D18" i="7"/>
  <c r="D22" i="7" s="1"/>
  <c r="R17" i="7"/>
  <c r="R16" i="7"/>
  <c r="R15" i="7"/>
  <c r="R14" i="7"/>
  <c r="R18" i="7" s="1"/>
  <c r="R13" i="7"/>
  <c r="H79" i="6"/>
  <c r="F69" i="1"/>
  <c r="F68" i="1"/>
  <c r="F67" i="1"/>
  <c r="F62" i="1"/>
  <c r="F63" i="1"/>
  <c r="H86" i="6"/>
  <c r="R35" i="7" l="1"/>
  <c r="L22" i="7"/>
  <c r="N22" i="7"/>
  <c r="K22" i="7"/>
  <c r="O22" i="7"/>
  <c r="M19" i="7"/>
  <c r="M22" i="7" s="1"/>
  <c r="F56" i="12" l="1"/>
  <c r="F58" i="12"/>
  <c r="F52" i="12"/>
  <c r="H71" i="6"/>
  <c r="H70" i="6"/>
  <c r="H69" i="6"/>
  <c r="F53" i="12"/>
  <c r="D32" i="1" l="1"/>
  <c r="F264" i="10"/>
  <c r="E264" i="10"/>
  <c r="D264" i="10"/>
  <c r="C264" i="10"/>
  <c r="F263" i="10"/>
  <c r="E263" i="10"/>
  <c r="D263" i="10"/>
  <c r="F262" i="10"/>
  <c r="D262" i="10"/>
  <c r="E262" i="10" s="1"/>
  <c r="E261" i="10"/>
  <c r="D261" i="10"/>
  <c r="E260" i="10"/>
  <c r="D260" i="10"/>
  <c r="C260" i="10"/>
  <c r="D259" i="10"/>
  <c r="E259" i="10" s="1"/>
  <c r="E258" i="10"/>
  <c r="D258" i="10"/>
  <c r="C258" i="10"/>
  <c r="E257" i="10"/>
  <c r="D257" i="10"/>
  <c r="D256" i="10"/>
  <c r="E256" i="10" s="1"/>
  <c r="E255" i="10"/>
  <c r="D255" i="10"/>
  <c r="C255" i="10"/>
  <c r="C265" i="10" s="1"/>
  <c r="E254" i="10"/>
  <c r="D254" i="10"/>
  <c r="D253" i="10"/>
  <c r="E253" i="10" s="1"/>
  <c r="F252" i="10"/>
  <c r="E252" i="10"/>
  <c r="D252" i="10"/>
  <c r="F251" i="10"/>
  <c r="E251" i="10"/>
  <c r="D251" i="10"/>
  <c r="D265" i="10" s="1"/>
  <c r="D242" i="10"/>
  <c r="F242" i="10" s="1"/>
  <c r="C243" i="10"/>
  <c r="D241" i="10"/>
  <c r="F241" i="10" s="1"/>
  <c r="D240" i="10"/>
  <c r="D243" i="10" s="1"/>
  <c r="F239" i="10"/>
  <c r="E239" i="10"/>
  <c r="C236" i="10"/>
  <c r="F235" i="10"/>
  <c r="D235" i="10"/>
  <c r="E235" i="10"/>
  <c r="E234" i="10"/>
  <c r="D234" i="10"/>
  <c r="F234" i="10" s="1"/>
  <c r="D233" i="10"/>
  <c r="D236" i="10" s="1"/>
  <c r="F232" i="10"/>
  <c r="E232" i="10"/>
  <c r="E227" i="10"/>
  <c r="D227" i="10"/>
  <c r="F227" i="10" s="1"/>
  <c r="F226" i="10"/>
  <c r="E226" i="10"/>
  <c r="D226" i="10"/>
  <c r="F225" i="10"/>
  <c r="E225" i="10"/>
  <c r="D225" i="10"/>
  <c r="D224" i="10"/>
  <c r="E224" i="10"/>
  <c r="D223" i="10"/>
  <c r="F223" i="10"/>
  <c r="F222" i="10"/>
  <c r="D222" i="10"/>
  <c r="E222" i="10"/>
  <c r="E221" i="10"/>
  <c r="D221" i="10"/>
  <c r="F221" i="10" s="1"/>
  <c r="F220" i="10"/>
  <c r="E220" i="10"/>
  <c r="D220" i="10"/>
  <c r="E219" i="10"/>
  <c r="D219" i="10"/>
  <c r="F219" i="10"/>
  <c r="F218" i="10"/>
  <c r="E218" i="10"/>
  <c r="D218" i="10"/>
  <c r="E217" i="10"/>
  <c r="D217" i="10"/>
  <c r="F217" i="10" s="1"/>
  <c r="F216" i="10"/>
  <c r="E216" i="10"/>
  <c r="D213" i="10"/>
  <c r="F212" i="10"/>
  <c r="E212" i="10"/>
  <c r="D212" i="10"/>
  <c r="C212" i="10"/>
  <c r="D211" i="10"/>
  <c r="C211" i="10"/>
  <c r="E211" i="10" s="1"/>
  <c r="F210" i="10"/>
  <c r="D210" i="10"/>
  <c r="C210" i="10"/>
  <c r="E210" i="10" s="1"/>
  <c r="F209" i="10"/>
  <c r="D209" i="10"/>
  <c r="C209" i="10"/>
  <c r="E209" i="10" s="1"/>
  <c r="F208" i="10"/>
  <c r="E208" i="10"/>
  <c r="F207" i="10"/>
  <c r="E207" i="10"/>
  <c r="D203" i="10"/>
  <c r="E203" i="10"/>
  <c r="F202" i="10"/>
  <c r="D202" i="10"/>
  <c r="E202" i="10"/>
  <c r="F201" i="10"/>
  <c r="D201" i="10"/>
  <c r="E201" i="10"/>
  <c r="D200" i="10"/>
  <c r="F200" i="10" s="1"/>
  <c r="D199" i="10"/>
  <c r="F199" i="10" s="1"/>
  <c r="F198" i="10"/>
  <c r="E198" i="10"/>
  <c r="D198" i="10"/>
  <c r="E197" i="10"/>
  <c r="D197" i="10"/>
  <c r="F197" i="10" s="1"/>
  <c r="E196" i="10"/>
  <c r="D196" i="10"/>
  <c r="F196" i="10" s="1"/>
  <c r="F195" i="10"/>
  <c r="D195" i="10"/>
  <c r="E195" i="10"/>
  <c r="F194" i="10"/>
  <c r="D194" i="10"/>
  <c r="E194" i="10"/>
  <c r="D193" i="10"/>
  <c r="F193" i="10" s="1"/>
  <c r="D192" i="10"/>
  <c r="F192" i="10" s="1"/>
  <c r="F191" i="10"/>
  <c r="D191" i="10"/>
  <c r="E191" i="10"/>
  <c r="F190" i="10"/>
  <c r="D190" i="10"/>
  <c r="E190" i="10"/>
  <c r="D189" i="10"/>
  <c r="F189" i="10" s="1"/>
  <c r="D188" i="10"/>
  <c r="F188" i="10" s="1"/>
  <c r="F187" i="10"/>
  <c r="E187" i="10"/>
  <c r="D187" i="10"/>
  <c r="E186" i="10"/>
  <c r="D186" i="10"/>
  <c r="F186" i="10" s="1"/>
  <c r="E185" i="10"/>
  <c r="D185" i="10"/>
  <c r="F185" i="10" s="1"/>
  <c r="E184" i="10"/>
  <c r="D184" i="10"/>
  <c r="F184" i="10" s="1"/>
  <c r="E183" i="10"/>
  <c r="D183" i="10"/>
  <c r="F183" i="10" s="1"/>
  <c r="F182" i="10"/>
  <c r="E182" i="10"/>
  <c r="D182" i="10"/>
  <c r="E181" i="10"/>
  <c r="D181" i="10"/>
  <c r="F181" i="10"/>
  <c r="F180" i="10"/>
  <c r="E180" i="10"/>
  <c r="D180" i="10"/>
  <c r="F179" i="10"/>
  <c r="E179" i="10"/>
  <c r="D179" i="10"/>
  <c r="F178" i="10"/>
  <c r="D178" i="10"/>
  <c r="E178" i="10" s="1"/>
  <c r="F177" i="10"/>
  <c r="E177" i="10"/>
  <c r="D177" i="10"/>
  <c r="F176" i="10"/>
  <c r="E176" i="10"/>
  <c r="D176" i="10"/>
  <c r="F175" i="10"/>
  <c r="D175" i="10"/>
  <c r="E175" i="10" s="1"/>
  <c r="F174" i="10"/>
  <c r="E174" i="10"/>
  <c r="D174" i="10"/>
  <c r="F173" i="10"/>
  <c r="E173" i="10"/>
  <c r="D173" i="10"/>
  <c r="D172" i="10"/>
  <c r="F172" i="10" s="1"/>
  <c r="F171" i="10"/>
  <c r="D171" i="10"/>
  <c r="E171" i="10" s="1"/>
  <c r="F170" i="10"/>
  <c r="D170" i="10"/>
  <c r="E170" i="10"/>
  <c r="D169" i="10"/>
  <c r="F169" i="10" s="1"/>
  <c r="F168" i="10"/>
  <c r="D168" i="10"/>
  <c r="E168" i="10"/>
  <c r="F167" i="10"/>
  <c r="D167" i="10"/>
  <c r="E167" i="10"/>
  <c r="D166" i="10"/>
  <c r="F166" i="10" s="1"/>
  <c r="F165" i="10"/>
  <c r="E165" i="10"/>
  <c r="D165" i="10"/>
  <c r="F164" i="10"/>
  <c r="E164" i="10"/>
  <c r="D164" i="10"/>
  <c r="E163" i="10"/>
  <c r="D163" i="10"/>
  <c r="F163" i="10" s="1"/>
  <c r="E162" i="10"/>
  <c r="D162" i="10"/>
  <c r="F162" i="10" s="1"/>
  <c r="E161" i="10"/>
  <c r="D161" i="10"/>
  <c r="F161" i="10" s="1"/>
  <c r="F160" i="10"/>
  <c r="E160" i="10"/>
  <c r="D160" i="10"/>
  <c r="F159" i="10"/>
  <c r="E159" i="10"/>
  <c r="D159" i="10"/>
  <c r="D158" i="10"/>
  <c r="E158" i="10"/>
  <c r="D157" i="10"/>
  <c r="F157" i="10"/>
  <c r="F156" i="10"/>
  <c r="D156" i="10"/>
  <c r="E156" i="10" s="1"/>
  <c r="D155" i="10"/>
  <c r="F155" i="10" s="1"/>
  <c r="E155" i="10"/>
  <c r="D154" i="10"/>
  <c r="F154" i="10" s="1"/>
  <c r="E153" i="10"/>
  <c r="D153" i="10"/>
  <c r="F153" i="10"/>
  <c r="F152" i="10"/>
  <c r="E152" i="10"/>
  <c r="D152" i="10"/>
  <c r="E151" i="10"/>
  <c r="D151" i="10"/>
  <c r="F151" i="10" s="1"/>
  <c r="F150" i="10"/>
  <c r="D150" i="10"/>
  <c r="E150" i="10" s="1"/>
  <c r="F149" i="10"/>
  <c r="E149" i="10"/>
  <c r="D149" i="10"/>
  <c r="F148" i="10"/>
  <c r="E148" i="10"/>
  <c r="D148" i="10"/>
  <c r="E147" i="10"/>
  <c r="D147" i="10"/>
  <c r="F147" i="10"/>
  <c r="F146" i="10"/>
  <c r="E146" i="10"/>
  <c r="D146" i="10"/>
  <c r="F145" i="10"/>
  <c r="E145" i="10"/>
  <c r="D145" i="10"/>
  <c r="D144" i="10"/>
  <c r="F144" i="10" s="1"/>
  <c r="E144" i="10"/>
  <c r="D143" i="10"/>
  <c r="F143" i="10" s="1"/>
  <c r="D142" i="10"/>
  <c r="F142" i="10" s="1"/>
  <c r="C204" i="10"/>
  <c r="E141" i="10"/>
  <c r="D141" i="10"/>
  <c r="F141" i="10" s="1"/>
  <c r="D140" i="10"/>
  <c r="F140" i="10" s="1"/>
  <c r="F139" i="10"/>
  <c r="E139" i="10"/>
  <c r="C136" i="10"/>
  <c r="F135" i="10"/>
  <c r="D135" i="10"/>
  <c r="E135" i="10"/>
  <c r="D134" i="10"/>
  <c r="D136" i="10" s="1"/>
  <c r="F133" i="10"/>
  <c r="E133" i="10"/>
  <c r="F132" i="10"/>
  <c r="D132" i="10"/>
  <c r="E132" i="10" s="1"/>
  <c r="F131" i="10"/>
  <c r="E131" i="10"/>
  <c r="D131" i="10"/>
  <c r="C131" i="10"/>
  <c r="D130" i="10"/>
  <c r="F130" i="10" s="1"/>
  <c r="D126" i="10"/>
  <c r="F126" i="10" s="1"/>
  <c r="D125" i="10"/>
  <c r="F125" i="10" s="1"/>
  <c r="E125" i="10"/>
  <c r="D124" i="10"/>
  <c r="F124" i="10" s="1"/>
  <c r="F123" i="10"/>
  <c r="D123" i="10"/>
  <c r="E123" i="10"/>
  <c r="D122" i="10"/>
  <c r="F122" i="10" s="1"/>
  <c r="D121" i="10"/>
  <c r="F121" i="10" s="1"/>
  <c r="C121" i="10"/>
  <c r="F120" i="10"/>
  <c r="E120" i="10"/>
  <c r="D120" i="10"/>
  <c r="C120" i="10"/>
  <c r="F119" i="10"/>
  <c r="E119" i="10"/>
  <c r="D119" i="10"/>
  <c r="C119" i="10"/>
  <c r="F118" i="10"/>
  <c r="E118" i="10"/>
  <c r="D118" i="10"/>
  <c r="F117" i="10"/>
  <c r="D117" i="10"/>
  <c r="E117" i="10" s="1"/>
  <c r="F116" i="10"/>
  <c r="E116" i="10"/>
  <c r="D116" i="10"/>
  <c r="F115" i="10"/>
  <c r="D115" i="10"/>
  <c r="E115" i="10"/>
  <c r="D114" i="10"/>
  <c r="F114" i="10" s="1"/>
  <c r="F113" i="10"/>
  <c r="D113" i="10"/>
  <c r="E113" i="10"/>
  <c r="F112" i="10"/>
  <c r="D112" i="10"/>
  <c r="E112" i="10"/>
  <c r="E111" i="10"/>
  <c r="D111" i="10"/>
  <c r="F111" i="10" s="1"/>
  <c r="F110" i="10"/>
  <c r="E110" i="10"/>
  <c r="D110" i="10"/>
  <c r="C110" i="10"/>
  <c r="C109" i="10"/>
  <c r="E109" i="10" s="1"/>
  <c r="F108" i="10"/>
  <c r="D108" i="10"/>
  <c r="E108" i="10" s="1"/>
  <c r="F107" i="10"/>
  <c r="E107" i="10"/>
  <c r="D107" i="10"/>
  <c r="F106" i="10"/>
  <c r="D106" i="10"/>
  <c r="C106" i="10"/>
  <c r="E106" i="10" s="1"/>
  <c r="F105" i="10"/>
  <c r="D105" i="10"/>
  <c r="C105" i="10"/>
  <c r="E105" i="10" s="1"/>
  <c r="D104" i="10"/>
  <c r="D109" i="10" s="1"/>
  <c r="F109" i="10" s="1"/>
  <c r="D103" i="10"/>
  <c r="F103" i="10" s="1"/>
  <c r="F102" i="10"/>
  <c r="D102" i="10"/>
  <c r="E102" i="10" s="1"/>
  <c r="F101" i="10"/>
  <c r="E101" i="10"/>
  <c r="D101" i="10"/>
  <c r="D100" i="10"/>
  <c r="F100" i="10" s="1"/>
  <c r="F99" i="10"/>
  <c r="D99" i="10"/>
  <c r="E99" i="10" s="1"/>
  <c r="F98" i="10"/>
  <c r="E98" i="10"/>
  <c r="D98" i="10"/>
  <c r="D97" i="10"/>
  <c r="C97" i="10"/>
  <c r="E97" i="10" s="1"/>
  <c r="F96" i="10"/>
  <c r="D96" i="10"/>
  <c r="C96" i="10"/>
  <c r="E96" i="10" s="1"/>
  <c r="F95" i="10"/>
  <c r="D95" i="10"/>
  <c r="C95" i="10"/>
  <c r="E95" i="10" s="1"/>
  <c r="D94" i="10"/>
  <c r="E94" i="10" s="1"/>
  <c r="C94" i="10"/>
  <c r="F93" i="10"/>
  <c r="E93" i="10"/>
  <c r="D93" i="10"/>
  <c r="C93" i="10"/>
  <c r="D92" i="10"/>
  <c r="C92" i="10"/>
  <c r="E92" i="10" s="1"/>
  <c r="C91" i="10"/>
  <c r="E91" i="10" s="1"/>
  <c r="F90" i="10"/>
  <c r="D90" i="10"/>
  <c r="C90" i="10"/>
  <c r="E90" i="10" s="1"/>
  <c r="D89" i="10"/>
  <c r="D91" i="10" s="1"/>
  <c r="F91" i="10" s="1"/>
  <c r="C89" i="10"/>
  <c r="F88" i="10"/>
  <c r="E88" i="10"/>
  <c r="D88" i="10"/>
  <c r="F87" i="10"/>
  <c r="E87" i="10"/>
  <c r="D87" i="10"/>
  <c r="C87" i="10"/>
  <c r="F86" i="10"/>
  <c r="E86" i="10"/>
  <c r="D86" i="10"/>
  <c r="C86" i="10"/>
  <c r="F85" i="10"/>
  <c r="E85" i="10"/>
  <c r="D85" i="10"/>
  <c r="D84" i="10"/>
  <c r="C84" i="10"/>
  <c r="F84" i="10" s="1"/>
  <c r="F83" i="10"/>
  <c r="D83" i="10"/>
  <c r="E83" i="10"/>
  <c r="D82" i="10"/>
  <c r="F82" i="10" s="1"/>
  <c r="D81" i="10"/>
  <c r="F81" i="10" s="1"/>
  <c r="E81" i="10"/>
  <c r="D80" i="10"/>
  <c r="F80" i="10" s="1"/>
  <c r="C80" i="10"/>
  <c r="E80" i="10" s="1"/>
  <c r="E79" i="10"/>
  <c r="D79" i="10"/>
  <c r="F79" i="10" s="1"/>
  <c r="F78" i="10"/>
  <c r="E78" i="10"/>
  <c r="D78" i="10"/>
  <c r="C78" i="10"/>
  <c r="F77" i="10"/>
  <c r="E77" i="10"/>
  <c r="D77" i="10"/>
  <c r="F75" i="10"/>
  <c r="D75" i="10"/>
  <c r="E75" i="10" s="1"/>
  <c r="F74" i="10"/>
  <c r="E74" i="10"/>
  <c r="D74" i="10"/>
  <c r="D73" i="10"/>
  <c r="F73" i="10" s="1"/>
  <c r="C76" i="10"/>
  <c r="D72" i="10"/>
  <c r="F72" i="10" s="1"/>
  <c r="F71" i="10"/>
  <c r="E71" i="10"/>
  <c r="D71" i="10"/>
  <c r="F70" i="10"/>
  <c r="E70" i="10"/>
  <c r="D70" i="10"/>
  <c r="F69" i="10"/>
  <c r="E69" i="10"/>
  <c r="D69" i="10"/>
  <c r="C69" i="10"/>
  <c r="D68" i="10"/>
  <c r="D76" i="10" s="1"/>
  <c r="F67" i="10"/>
  <c r="D67" i="10"/>
  <c r="E67" i="10"/>
  <c r="D66" i="10"/>
  <c r="F66" i="10" s="1"/>
  <c r="D65" i="10"/>
  <c r="E65" i="10" s="1"/>
  <c r="C65" i="10"/>
  <c r="E64" i="10"/>
  <c r="D64" i="10"/>
  <c r="F64" i="10" s="1"/>
  <c r="C64" i="10"/>
  <c r="D63" i="10"/>
  <c r="F62" i="10"/>
  <c r="D62" i="10"/>
  <c r="F61" i="10"/>
  <c r="E61" i="10"/>
  <c r="D61" i="10"/>
  <c r="F56" i="10"/>
  <c r="D56" i="10"/>
  <c r="C56" i="10"/>
  <c r="E56" i="10" s="1"/>
  <c r="F55" i="10"/>
  <c r="D55" i="10"/>
  <c r="E55" i="10" s="1"/>
  <c r="D50" i="10"/>
  <c r="F50" i="10" s="1"/>
  <c r="D49" i="10"/>
  <c r="F49" i="10" s="1"/>
  <c r="D48" i="10"/>
  <c r="F48" i="10" s="1"/>
  <c r="C48" i="10"/>
  <c r="E47" i="10"/>
  <c r="D47" i="10"/>
  <c r="F47" i="10" s="1"/>
  <c r="E46" i="10"/>
  <c r="D46" i="10"/>
  <c r="F46" i="10" s="1"/>
  <c r="D45" i="10"/>
  <c r="E45" i="10" s="1"/>
  <c r="D44" i="10"/>
  <c r="F44" i="10" s="1"/>
  <c r="D43" i="10"/>
  <c r="F43" i="10" s="1"/>
  <c r="C43" i="10"/>
  <c r="D42" i="10"/>
  <c r="E41" i="10"/>
  <c r="D41" i="10"/>
  <c r="F41" i="10" s="1"/>
  <c r="F40" i="10"/>
  <c r="D40" i="10"/>
  <c r="C42" i="10"/>
  <c r="E42" i="10" s="1"/>
  <c r="F39" i="10"/>
  <c r="D39" i="10"/>
  <c r="E39" i="10" s="1"/>
  <c r="F38" i="10"/>
  <c r="E38" i="10"/>
  <c r="D38" i="10"/>
  <c r="F37" i="10"/>
  <c r="D37" i="10"/>
  <c r="E37" i="10" s="1"/>
  <c r="F36" i="10"/>
  <c r="E36" i="10"/>
  <c r="D36" i="10"/>
  <c r="F35" i="10"/>
  <c r="E35" i="10"/>
  <c r="D35" i="10"/>
  <c r="D34" i="10"/>
  <c r="C34" i="10"/>
  <c r="F34" i="10" s="1"/>
  <c r="C33" i="10"/>
  <c r="D32" i="10"/>
  <c r="F32" i="10" s="1"/>
  <c r="C32" i="10"/>
  <c r="D31" i="10"/>
  <c r="F31" i="10" s="1"/>
  <c r="E30" i="10"/>
  <c r="D30" i="10"/>
  <c r="F30" i="10" s="1"/>
  <c r="C30" i="10"/>
  <c r="F29" i="10"/>
  <c r="D29" i="10"/>
  <c r="E29" i="10"/>
  <c r="F28" i="10"/>
  <c r="D28" i="10"/>
  <c r="E28" i="10" s="1"/>
  <c r="D26" i="10"/>
  <c r="F26" i="10" s="1"/>
  <c r="F25" i="10"/>
  <c r="D25" i="10"/>
  <c r="C25" i="10"/>
  <c r="E25" i="10" s="1"/>
  <c r="F24" i="10"/>
  <c r="D24" i="10"/>
  <c r="E24" i="10" s="1"/>
  <c r="D23" i="10"/>
  <c r="F23" i="10" s="1"/>
  <c r="C23" i="10"/>
  <c r="E23" i="10" s="1"/>
  <c r="D22" i="10"/>
  <c r="F22" i="10" s="1"/>
  <c r="D21" i="10"/>
  <c r="F21" i="10" s="1"/>
  <c r="D20" i="10"/>
  <c r="F20" i="10" s="1"/>
  <c r="D19" i="10"/>
  <c r="C19" i="10"/>
  <c r="F19" i="10" s="1"/>
  <c r="F18" i="10"/>
  <c r="D18" i="10"/>
  <c r="C18" i="10"/>
  <c r="E18" i="10" s="1"/>
  <c r="D17" i="10"/>
  <c r="E17" i="10" s="1"/>
  <c r="C17" i="10"/>
  <c r="F15" i="10"/>
  <c r="D15" i="10"/>
  <c r="C15" i="10"/>
  <c r="E15" i="10" s="1"/>
  <c r="F14" i="10"/>
  <c r="D14" i="10"/>
  <c r="C14" i="10"/>
  <c r="E14" i="10" s="1"/>
  <c r="F13" i="10"/>
  <c r="D13" i="10"/>
  <c r="C13" i="10"/>
  <c r="E13" i="10" s="1"/>
  <c r="D12" i="10"/>
  <c r="E12" i="10" s="1"/>
  <c r="C12" i="10"/>
  <c r="C16" i="10" s="1"/>
  <c r="H72" i="6"/>
  <c r="H84" i="6" s="1"/>
  <c r="H85" i="6"/>
  <c r="F66" i="12"/>
  <c r="H11" i="11"/>
  <c r="H15" i="11"/>
  <c r="F243" i="10" l="1"/>
  <c r="F236" i="10"/>
  <c r="F136" i="10"/>
  <c r="F76" i="10"/>
  <c r="F42" i="10"/>
  <c r="E136" i="10"/>
  <c r="C266" i="10"/>
  <c r="E265" i="10"/>
  <c r="E236" i="10"/>
  <c r="E33" i="10"/>
  <c r="E76" i="10"/>
  <c r="E243" i="10"/>
  <c r="D266" i="10"/>
  <c r="F266" i="10" s="1"/>
  <c r="F265" i="10"/>
  <c r="E31" i="10"/>
  <c r="E48" i="10"/>
  <c r="C27" i="10"/>
  <c r="E27" i="10" s="1"/>
  <c r="F92" i="10"/>
  <c r="F97" i="10"/>
  <c r="F158" i="10"/>
  <c r="F203" i="10"/>
  <c r="F211" i="10"/>
  <c r="F224" i="10"/>
  <c r="E21" i="10"/>
  <c r="D27" i="10"/>
  <c r="E32" i="10"/>
  <c r="E43" i="10"/>
  <c r="E49" i="10"/>
  <c r="E66" i="10"/>
  <c r="E82" i="10"/>
  <c r="E104" i="10"/>
  <c r="E126" i="10"/>
  <c r="E134" i="10"/>
  <c r="E142" i="10"/>
  <c r="E193" i="10"/>
  <c r="E240" i="10"/>
  <c r="D16" i="10"/>
  <c r="F104" i="10"/>
  <c r="F134" i="10"/>
  <c r="D204" i="10"/>
  <c r="F204" i="10" s="1"/>
  <c r="F240" i="10"/>
  <c r="C127" i="10"/>
  <c r="E127" i="10" s="1"/>
  <c r="E22" i="10"/>
  <c r="D33" i="10"/>
  <c r="F33" i="10" s="1"/>
  <c r="E44" i="10"/>
  <c r="E72" i="10"/>
  <c r="E121" i="10"/>
  <c r="D127" i="10"/>
  <c r="E143" i="10"/>
  <c r="E154" i="10"/>
  <c r="E188" i="10"/>
  <c r="E199" i="10"/>
  <c r="E233" i="10"/>
  <c r="E241" i="10"/>
  <c r="E50" i="10"/>
  <c r="E62" i="10"/>
  <c r="C213" i="10"/>
  <c r="F233" i="10"/>
  <c r="E122" i="10"/>
  <c r="E166" i="10"/>
  <c r="E189" i="10"/>
  <c r="E200" i="10"/>
  <c r="E89" i="10"/>
  <c r="F12" i="10"/>
  <c r="F45" i="10"/>
  <c r="E68" i="10"/>
  <c r="F89" i="10"/>
  <c r="F94" i="10"/>
  <c r="E100" i="10"/>
  <c r="E130" i="10"/>
  <c r="E172" i="10"/>
  <c r="E242" i="10"/>
  <c r="F17" i="10"/>
  <c r="E73" i="10"/>
  <c r="E34" i="10"/>
  <c r="E40" i="10"/>
  <c r="E63" i="10"/>
  <c r="F68" i="10"/>
  <c r="E84" i="10"/>
  <c r="F63" i="10"/>
  <c r="C228" i="10"/>
  <c r="D228" i="10"/>
  <c r="E124" i="10"/>
  <c r="E140" i="10"/>
  <c r="E19" i="10"/>
  <c r="E157" i="10"/>
  <c r="E223" i="10"/>
  <c r="E26" i="10"/>
  <c r="F65" i="10"/>
  <c r="E103" i="10"/>
  <c r="E114" i="10"/>
  <c r="E169" i="10"/>
  <c r="E192" i="10"/>
  <c r="E20" i="10"/>
  <c r="H63" i="6"/>
  <c r="G61" i="6"/>
  <c r="F61" i="6"/>
  <c r="H61" i="6" s="1"/>
  <c r="H60" i="6"/>
  <c r="H59" i="6"/>
  <c r="H55" i="6"/>
  <c r="H53" i="6"/>
  <c r="G53" i="6"/>
  <c r="F53" i="6"/>
  <c r="H51" i="6"/>
  <c r="H50" i="6"/>
  <c r="H49" i="6"/>
  <c r="G46" i="6"/>
  <c r="F46" i="6"/>
  <c r="H45" i="6"/>
  <c r="H44" i="6"/>
  <c r="H46" i="6" s="1"/>
  <c r="H43" i="6"/>
  <c r="H39" i="6"/>
  <c r="G37" i="6"/>
  <c r="G40" i="6" s="1"/>
  <c r="G64" i="6" s="1"/>
  <c r="F37" i="6"/>
  <c r="F40" i="6" s="1"/>
  <c r="H36" i="6"/>
  <c r="H35" i="6"/>
  <c r="H34" i="6"/>
  <c r="H33" i="6"/>
  <c r="H32" i="6"/>
  <c r="H37" i="6" s="1"/>
  <c r="H30" i="6"/>
  <c r="G21" i="6"/>
  <c r="H21" i="6" s="1"/>
  <c r="H19" i="6"/>
  <c r="G17" i="6"/>
  <c r="F17" i="6"/>
  <c r="H17" i="6" s="1"/>
  <c r="H16" i="6"/>
  <c r="G14" i="6"/>
  <c r="F14" i="6"/>
  <c r="H14" i="6" s="1"/>
  <c r="H13" i="6"/>
  <c r="H12" i="6"/>
  <c r="H11" i="6"/>
  <c r="G9" i="6"/>
  <c r="G22" i="6" s="1"/>
  <c r="G23" i="6" s="1"/>
  <c r="F9" i="6"/>
  <c r="F22" i="6" s="1"/>
  <c r="H8" i="6"/>
  <c r="D51" i="10" l="1"/>
  <c r="F16" i="10"/>
  <c r="C229" i="10"/>
  <c r="E213" i="10"/>
  <c r="F127" i="10"/>
  <c r="E204" i="10"/>
  <c r="D246" i="10"/>
  <c r="F27" i="10"/>
  <c r="E16" i="10"/>
  <c r="C51" i="10"/>
  <c r="D229" i="10"/>
  <c r="F228" i="10"/>
  <c r="E266" i="10"/>
  <c r="E228" i="10"/>
  <c r="F213" i="10"/>
  <c r="H22" i="6"/>
  <c r="F23" i="6"/>
  <c r="H23" i="6" s="1"/>
  <c r="F64" i="6"/>
  <c r="H40" i="6"/>
  <c r="H64" i="6" s="1"/>
  <c r="H77" i="6" s="1"/>
  <c r="H9" i="6"/>
  <c r="F229" i="10" l="1"/>
  <c r="E51" i="10"/>
  <c r="C57" i="10"/>
  <c r="E229" i="10"/>
  <c r="E246" i="10"/>
  <c r="D57" i="10"/>
  <c r="F51" i="10"/>
  <c r="N12" i="12"/>
  <c r="N11" i="12"/>
  <c r="N10" i="12"/>
  <c r="L12" i="12"/>
  <c r="L11" i="12"/>
  <c r="L10" i="12"/>
  <c r="L45" i="12"/>
  <c r="F42" i="12"/>
  <c r="F34" i="12"/>
  <c r="F27" i="12"/>
  <c r="C26" i="12"/>
  <c r="C40" i="12" s="1"/>
  <c r="F20" i="12"/>
  <c r="K13" i="12"/>
  <c r="H13" i="12"/>
  <c r="F13" i="12"/>
  <c r="F50" i="12" s="1"/>
  <c r="I83" i="11"/>
  <c r="H83" i="11"/>
  <c r="J82" i="11"/>
  <c r="J81" i="11"/>
  <c r="J80" i="11"/>
  <c r="I72" i="11"/>
  <c r="H72" i="11"/>
  <c r="J71" i="11"/>
  <c r="J70" i="11"/>
  <c r="J69" i="11"/>
  <c r="J68" i="11"/>
  <c r="J67" i="11"/>
  <c r="J66" i="11"/>
  <c r="J65" i="11"/>
  <c r="I62" i="11"/>
  <c r="I74" i="11" s="1"/>
  <c r="I76" i="11" s="1"/>
  <c r="I85" i="11" s="1"/>
  <c r="H62" i="11"/>
  <c r="J61" i="11"/>
  <c r="J51" i="11"/>
  <c r="I49" i="11"/>
  <c r="I52" i="11" s="1"/>
  <c r="H49" i="11"/>
  <c r="H52" i="11" s="1"/>
  <c r="J48" i="11"/>
  <c r="J47" i="11"/>
  <c r="J46" i="11"/>
  <c r="J45" i="11"/>
  <c r="J44" i="11"/>
  <c r="J43" i="11"/>
  <c r="J42" i="11"/>
  <c r="J41" i="11"/>
  <c r="J40" i="11"/>
  <c r="J39" i="11"/>
  <c r="J38" i="11"/>
  <c r="I35" i="11"/>
  <c r="H35" i="11"/>
  <c r="J35" i="11" s="1"/>
  <c r="J34" i="11"/>
  <c r="J33" i="11"/>
  <c r="I28" i="11"/>
  <c r="H28" i="11"/>
  <c r="J27" i="11"/>
  <c r="J26" i="11"/>
  <c r="J25" i="11"/>
  <c r="J24" i="11"/>
  <c r="J23" i="11"/>
  <c r="J22" i="11"/>
  <c r="J21" i="11"/>
  <c r="J20" i="11"/>
  <c r="J19" i="11"/>
  <c r="J18" i="11"/>
  <c r="I15" i="11"/>
  <c r="J14" i="11"/>
  <c r="I11" i="11"/>
  <c r="J10" i="11"/>
  <c r="J11" i="11" s="1"/>
  <c r="C6" i="10"/>
  <c r="D247" i="10" l="1"/>
  <c r="F57" i="10"/>
  <c r="F246" i="10"/>
  <c r="E57" i="10"/>
  <c r="C247" i="10"/>
  <c r="I30" i="11"/>
  <c r="I54" i="11" s="1"/>
  <c r="I86" i="11" s="1"/>
  <c r="J72" i="11"/>
  <c r="J49" i="11"/>
  <c r="J52" i="11" s="1"/>
  <c r="J83" i="11"/>
  <c r="J28" i="11"/>
  <c r="H74" i="11"/>
  <c r="H76" i="11" s="1"/>
  <c r="H85" i="11" s="1"/>
  <c r="H30" i="11"/>
  <c r="H54" i="11" s="1"/>
  <c r="F35" i="12"/>
  <c r="L13" i="12"/>
  <c r="F54" i="12"/>
  <c r="C33" i="12"/>
  <c r="J15" i="11"/>
  <c r="J62" i="11"/>
  <c r="J74" i="11" s="1"/>
  <c r="J76" i="11" s="1"/>
  <c r="C269" i="10" l="1"/>
  <c r="E247" i="10"/>
  <c r="D269" i="10"/>
  <c r="F247" i="10"/>
  <c r="J85" i="11"/>
  <c r="H86" i="11"/>
  <c r="J30" i="11"/>
  <c r="J54" i="11" s="1"/>
  <c r="J86" i="11" s="1"/>
  <c r="F68" i="12"/>
  <c r="F269" i="10" l="1"/>
  <c r="E269" i="10"/>
  <c r="F20" i="1"/>
  <c r="F16" i="1"/>
  <c r="E14" i="1"/>
  <c r="E17" i="1" s="1"/>
  <c r="D14" i="1"/>
  <c r="D17" i="1" s="1"/>
  <c r="F13" i="1"/>
  <c r="F17" i="1" l="1"/>
  <c r="I56" i="9" l="1"/>
  <c r="G41" i="8"/>
  <c r="G40" i="8"/>
  <c r="G39" i="8"/>
  <c r="G38" i="8"/>
  <c r="G37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F70" i="1"/>
  <c r="F64" i="1"/>
  <c r="D57" i="1"/>
  <c r="D53" i="1"/>
  <c r="D49" i="1"/>
  <c r="D39" i="1"/>
  <c r="D42" i="1" s="1"/>
  <c r="E32" i="1"/>
  <c r="G31" i="1"/>
  <c r="F31" i="1"/>
  <c r="G30" i="1"/>
  <c r="F30" i="1"/>
  <c r="E28" i="1"/>
  <c r="D28" i="1"/>
  <c r="G27" i="1"/>
  <c r="F27" i="1"/>
  <c r="G26" i="1"/>
  <c r="F26" i="1"/>
  <c r="E24" i="1"/>
  <c r="D24" i="1"/>
  <c r="G23" i="1"/>
  <c r="F23" i="1"/>
  <c r="G22" i="1"/>
  <c r="F22" i="1"/>
  <c r="G20" i="1"/>
  <c r="G16" i="1"/>
  <c r="G13" i="1"/>
  <c r="G12" i="1"/>
  <c r="F12" i="1"/>
  <c r="F14" i="1" s="1"/>
  <c r="F78" i="1" l="1"/>
  <c r="F80" i="1" s="1"/>
  <c r="F32" i="1"/>
  <c r="G28" i="1"/>
  <c r="G24" i="1"/>
  <c r="G32" i="1"/>
  <c r="F28" i="1"/>
  <c r="F24" i="1"/>
  <c r="F72" i="1"/>
  <c r="G14" i="1"/>
  <c r="G17" i="1"/>
</calcChain>
</file>

<file path=xl/sharedStrings.xml><?xml version="1.0" encoding="utf-8"?>
<sst xmlns="http://schemas.openxmlformats.org/spreadsheetml/2006/main" count="896" uniqueCount="719">
  <si>
    <t>QCYC</t>
  </si>
  <si>
    <t>Financials FY23-24 - SNAPSHOT</t>
  </si>
  <si>
    <t>Description</t>
  </si>
  <si>
    <t>YTD Activity</t>
  </si>
  <si>
    <t>FY Budget</t>
  </si>
  <si>
    <t>Over/Under Budget</t>
  </si>
  <si>
    <t>% Used</t>
  </si>
  <si>
    <t>Comments</t>
  </si>
  <si>
    <t>YEAR-TO-DATE ACTIVITY - Ordinary Income/Expenses</t>
  </si>
  <si>
    <t>•  Income</t>
  </si>
  <si>
    <t>•  Expenses</t>
  </si>
  <si>
    <t>•  Net Operating Income</t>
  </si>
  <si>
    <t>•  Total Other Expenses (Capital &amp; Small Funds)</t>
  </si>
  <si>
    <t>•  NET INCOME/EXPENSE YTD</t>
  </si>
  <si>
    <t>•  Schedule 1 - Committees</t>
  </si>
  <si>
    <t>•  Schedule 2 - Bainbridge - Income</t>
  </si>
  <si>
    <t>•  Schedule 2 - Bainbridge - Expenses</t>
  </si>
  <si>
    <t>•  Schedule 2 - Bainbridge - Net</t>
  </si>
  <si>
    <t>•  Schedule 3 - Spirits/Bar - Income</t>
  </si>
  <si>
    <t>•  Schedule 3 - Spirits/Bar - Expenses</t>
  </si>
  <si>
    <t>•  Schedule 3 - Spirits/Bar - Net</t>
  </si>
  <si>
    <t>•  Schedule 4 - Stores - Income</t>
  </si>
  <si>
    <t>•  Schedule 4 - Stores - Expenses</t>
  </si>
  <si>
    <t>•  Schedule 4 - Stores - Net</t>
  </si>
  <si>
    <t>CURRENT MONTH ACTIVITY</t>
  </si>
  <si>
    <t>•  NET INCOME/EXPENSE CURRENT MONTH</t>
  </si>
  <si>
    <t xml:space="preserve">BANKING / INVESTMENTS </t>
  </si>
  <si>
    <t>•  Treasury Bills</t>
  </si>
  <si>
    <t>•  Banking - MM &amp; Sweep</t>
  </si>
  <si>
    <t>•  Total</t>
  </si>
  <si>
    <t>Mainstation</t>
  </si>
  <si>
    <t xml:space="preserve">•  Less DOT / 520 Restricted Funds </t>
  </si>
  <si>
    <t>•  Checking Account</t>
  </si>
  <si>
    <t>Spirits/Bar</t>
  </si>
  <si>
    <t>Stores</t>
  </si>
  <si>
    <t xml:space="preserve">•  Total </t>
  </si>
  <si>
    <t>Spirits/Stores</t>
  </si>
  <si>
    <t>•  TOTAL ALL DOLLARS</t>
  </si>
  <si>
    <t>Financials FY23-24- HIGHLIGHTS</t>
  </si>
  <si>
    <t>General</t>
  </si>
  <si>
    <t>T-Bills</t>
  </si>
  <si>
    <t>Income</t>
  </si>
  <si>
    <t>Committees</t>
  </si>
  <si>
    <t>Financials FY23-24 - INCOME/EXPENSES STATEMENT</t>
  </si>
  <si>
    <t>FY 23-24 YTD</t>
  </si>
  <si>
    <t>Budget</t>
  </si>
  <si>
    <t>$ Over Under Budget</t>
  </si>
  <si>
    <t>% of Line Item Used</t>
  </si>
  <si>
    <t xml:space="preserve">   4000R Dues Income</t>
  </si>
  <si>
    <t xml:space="preserve">      4001R Active Social</t>
  </si>
  <si>
    <t xml:space="preserve">      4002R Intermediate</t>
  </si>
  <si>
    <t xml:space="preserve">      4003R Dues Life</t>
  </si>
  <si>
    <t xml:space="preserve">   Total 4000R Dues Income</t>
  </si>
  <si>
    <t xml:space="preserve">   4005R Mailings Inc-Annual,BP (Treas)</t>
  </si>
  <si>
    <t xml:space="preserve">   4010R NewMem Init12+9+9</t>
  </si>
  <si>
    <t xml:space="preserve">   4024V Deer Harbor Income (Wood)</t>
  </si>
  <si>
    <t xml:space="preserve">   4025V SaltSpringGangesIncome (Wood)</t>
  </si>
  <si>
    <t xml:space="preserve">   4026V Thetis Island Income (Wood)</t>
  </si>
  <si>
    <t xml:space="preserve">   4029V Mill Bay Group Income</t>
  </si>
  <si>
    <t xml:space="preserve">      4022V Port Browning</t>
  </si>
  <si>
    <t xml:space="preserve">      4023V Dock Street</t>
  </si>
  <si>
    <t xml:space="preserve">      4027V Port of Sidney</t>
  </si>
  <si>
    <t xml:space="preserve">      4028V Mill Bay Marina</t>
  </si>
  <si>
    <t xml:space="preserve">   Total 4029V Mill Bay Group Income</t>
  </si>
  <si>
    <t xml:space="preserve">   402xV Moorage Income (Moorage ch)</t>
  </si>
  <si>
    <t xml:space="preserve">      4020V Moorage-Permanent (Moorage Ch)</t>
  </si>
  <si>
    <t xml:space="preserve">      4021V Sea U Elec Charge</t>
  </si>
  <si>
    <t xml:space="preserve">      4031V Reciprocal Moor Inc</t>
  </si>
  <si>
    <t xml:space="preserve">      4032V Work Slip</t>
  </si>
  <si>
    <t xml:space="preserve">   Total 402xV Moorage Income (Moorage ch)</t>
  </si>
  <si>
    <t xml:space="preserve">   4030V Lockers Income</t>
  </si>
  <si>
    <t xml:space="preserve">   4033V Telegraph Marina Income (Wood)</t>
  </si>
  <si>
    <t xml:space="preserve">   405xB Interest Inc (Treas)</t>
  </si>
  <si>
    <t xml:space="preserve">   4800 Other Income</t>
  </si>
  <si>
    <t xml:space="preserve">   4805 Gain (Loss) on Fixed Assets</t>
  </si>
  <si>
    <t xml:space="preserve">   480xV Oth Inc-Rentals,Laundry</t>
  </si>
  <si>
    <t xml:space="preserve">      4802 Club House Rentals</t>
  </si>
  <si>
    <t xml:space="preserve">      4804 Coin Laundry</t>
  </si>
  <si>
    <t xml:space="preserve">   Total 480xV Oth Inc-Rentals,Laundry</t>
  </si>
  <si>
    <t xml:space="preserve">   4814C Tarettes</t>
  </si>
  <si>
    <t xml:space="preserve">   4910C Other Contrib/Gifts</t>
  </si>
  <si>
    <t xml:space="preserve">      4911C Contrib/Gifts Unrestrict</t>
  </si>
  <si>
    <t xml:space="preserve">      4912C Contrib/Gifts Restricted</t>
  </si>
  <si>
    <t xml:space="preserve">      4915C Memorial Fund</t>
  </si>
  <si>
    <t xml:space="preserve">   Total 4910C Other Contrib/Gifts</t>
  </si>
  <si>
    <t xml:space="preserve">   4920V Late Pay Fees Membership</t>
  </si>
  <si>
    <t xml:space="preserve">   4930 Returned Check Charges</t>
  </si>
  <si>
    <t>Total Income</t>
  </si>
  <si>
    <t>Cost of Goods Sold</t>
  </si>
  <si>
    <t xml:space="preserve">   5000 Cost of Goods Sold</t>
  </si>
  <si>
    <t>Total Cost of Goods Sold</t>
  </si>
  <si>
    <t>Gross Profit</t>
  </si>
  <si>
    <t>Expenses</t>
  </si>
  <si>
    <t xml:space="preserve">   4000 Reconciliation Discrepancies</t>
  </si>
  <si>
    <t xml:space="preserve">   5000T Advances</t>
  </si>
  <si>
    <t xml:space="preserve">   5000V Linen &amp; Towel Service (Treas)</t>
  </si>
  <si>
    <t xml:space="preserve">   5001V Salaries</t>
  </si>
  <si>
    <t xml:space="preserve">   5002V Employee Benefits (Treas)</t>
  </si>
  <si>
    <t xml:space="preserve">   5004V Billing Services</t>
  </si>
  <si>
    <t xml:space="preserve">   5019V Electricity-House (VC)</t>
  </si>
  <si>
    <t xml:space="preserve">   501xV Utilities-Gas,Garbage (VC)</t>
  </si>
  <si>
    <t xml:space="preserve">      5011V Natural Gas</t>
  </si>
  <si>
    <t xml:space="preserve">      5012V Garbage</t>
  </si>
  <si>
    <t xml:space="preserve">      5013V Recycling</t>
  </si>
  <si>
    <t xml:space="preserve">      5015V Water - Dock</t>
  </si>
  <si>
    <t xml:space="preserve">      5016V Water - House</t>
  </si>
  <si>
    <t xml:space="preserve">      5017V Cable TV</t>
  </si>
  <si>
    <t xml:space="preserve">      5035V Other Utilities</t>
  </si>
  <si>
    <t xml:space="preserve">   5020V Dock Electrical Net</t>
  </si>
  <si>
    <t xml:space="preserve">      5021V Elec Dock Income</t>
  </si>
  <si>
    <t xml:space="preserve">      5022V Dock Elec Util Exp</t>
  </si>
  <si>
    <t xml:space="preserve">   Total 5020V Dock Electrical Net</t>
  </si>
  <si>
    <t xml:space="preserve">   5030V Telepho, Internet,WiFi (Treas)</t>
  </si>
  <si>
    <t xml:space="preserve">   5040V Postage (Treas)</t>
  </si>
  <si>
    <t xml:space="preserve">   5070V Taxes and Licenses (Treas)</t>
  </si>
  <si>
    <t xml:space="preserve">      5071 Property Tax</t>
  </si>
  <si>
    <t xml:space="preserve">      5072 Business Tax</t>
  </si>
  <si>
    <t xml:space="preserve">      5073 Income Tax</t>
  </si>
  <si>
    <t xml:space="preserve">      5085 Licenses</t>
  </si>
  <si>
    <t xml:space="preserve">      6560 Payroll Taxes</t>
  </si>
  <si>
    <t xml:space="preserve">   Total 5070V Taxes and Licenses (Treas)</t>
  </si>
  <si>
    <t xml:space="preserve">   5100R Officer Uniform Allow(Rear)</t>
  </si>
  <si>
    <t xml:space="preserve">   5105C Commodore G14 Expenses</t>
  </si>
  <si>
    <t xml:space="preserve">   5105R Rear Commodore G14 Expenses</t>
  </si>
  <si>
    <t xml:space="preserve">   5105V Vice Commodore G14 Expenses</t>
  </si>
  <si>
    <t xml:space="preserve">   5106C Officers G14 Dues</t>
  </si>
  <si>
    <t xml:space="preserve">   5107 Bridge To Member Comp's</t>
  </si>
  <si>
    <t xml:space="preserve">   5110V Legal and Accounting (VC/Treas)</t>
  </si>
  <si>
    <t xml:space="preserve">   5130V RoanokeStEndRental (Commordore)</t>
  </si>
  <si>
    <t xml:space="preserve">   5135B Depreciation Expense</t>
  </si>
  <si>
    <t xml:space="preserve">   5140V Deer Harbor Lease (Wood)</t>
  </si>
  <si>
    <t xml:space="preserve">   5142V Ganges/SaltSpring Lease (Wood)</t>
  </si>
  <si>
    <t xml:space="preserve">   5145V Telegraph Marina Expense</t>
  </si>
  <si>
    <t xml:space="preserve">   5146V Mill Bay Marine Group pmts.</t>
  </si>
  <si>
    <t xml:space="preserve">      5147 Sidney Expense</t>
  </si>
  <si>
    <t xml:space="preserve">      5148 Dock Street Expense</t>
  </si>
  <si>
    <t xml:space="preserve">      5149 Port Browning Expense</t>
  </si>
  <si>
    <t xml:space="preserve">      5150 Mill Bay Expense</t>
  </si>
  <si>
    <t xml:space="preserve">   Total 5146V Mill Bay Marine Group pmts.</t>
  </si>
  <si>
    <t xml:space="preserve">   5171V Dock Maintenance VESC</t>
  </si>
  <si>
    <t xml:space="preserve">   5181V Dock Maintenance (Dock Ch)</t>
  </si>
  <si>
    <t xml:space="preserve">   5182R Grounds Maintenance(Grounds Ch)</t>
  </si>
  <si>
    <t xml:space="preserve">   5183V House Maintenance (House Ch)</t>
  </si>
  <si>
    <t xml:space="preserve">   5184V Locker Maintenance (Locker Ch)</t>
  </si>
  <si>
    <t xml:space="preserve">   5185V Custodial Service (Francisco)</t>
  </si>
  <si>
    <t xml:space="preserve">   5186V Pest Control(Commodore)</t>
  </si>
  <si>
    <t xml:space="preserve">   5188V Reserve study</t>
  </si>
  <si>
    <t xml:space="preserve">   5190R Security (Security Ch)</t>
  </si>
  <si>
    <t xml:space="preserve">   5210R 520 ImpactExpense (Stone)</t>
  </si>
  <si>
    <t xml:space="preserve">   5220 Other Expenses</t>
  </si>
  <si>
    <t xml:space="preserve">   5300V Water Damage Task Force</t>
  </si>
  <si>
    <t xml:space="preserve">   5999V Gen Bank &amp; CrCrd (Treas)</t>
  </si>
  <si>
    <t xml:space="preserve">      5991V Bank Fees</t>
  </si>
  <si>
    <t xml:space="preserve">      5993V CrCard Exp</t>
  </si>
  <si>
    <t xml:space="preserve">      5994V CrCard Rev</t>
  </si>
  <si>
    <t xml:space="preserve">      5995V Financial Services</t>
  </si>
  <si>
    <t xml:space="preserve">   Total 5999V Gen Bank &amp; CrCrd (Treas)</t>
  </si>
  <si>
    <t xml:space="preserve">   69800 Uncategorized Expenses</t>
  </si>
  <si>
    <t xml:space="preserve">   9100C Sch3C Spirits/Bar</t>
  </si>
  <si>
    <t xml:space="preserve">   Payroll Expenses</t>
  </si>
  <si>
    <t xml:space="preserve">      Taxes</t>
  </si>
  <si>
    <t xml:space="preserve">      Wages</t>
  </si>
  <si>
    <t xml:space="preserve">   Total Payroll Expenses</t>
  </si>
  <si>
    <t xml:space="preserve">   Sch1C Committee Expenses (List)</t>
  </si>
  <si>
    <t xml:space="preserve">      8005C Active Intermediates</t>
  </si>
  <si>
    <t xml:space="preserve">      801*C Architectural Comm (AAC Chair)</t>
  </si>
  <si>
    <t xml:space="preserve">      8010C Annual Cost (Annual Ch)</t>
  </si>
  <si>
    <t xml:space="preserve">      8018C Band</t>
  </si>
  <si>
    <t xml:space="preserve">      8020C Bar Operation-Exp</t>
  </si>
  <si>
    <t xml:space="preserve">      8021C Bar Operation Rev</t>
  </si>
  <si>
    <t xml:space="preserve">      8025C Bilge Pump Cost (BP Editor)</t>
  </si>
  <si>
    <t xml:space="preserve">      8030C Publication Income</t>
  </si>
  <si>
    <t xml:space="preserve">      8031C Big Brother Cruise</t>
  </si>
  <si>
    <t xml:space="preserve">      8038C Breakfastw/theBridge(Commodore)</t>
  </si>
  <si>
    <t xml:space="preserve">      8039C Centennial Expenses</t>
  </si>
  <si>
    <t xml:space="preserve">      804*C Change of Watch (P/C's)</t>
  </si>
  <si>
    <t xml:space="preserve">      8040C By-Laws Comm (ByLaw Ch)</t>
  </si>
  <si>
    <t xml:space="preserve">      8045C Children'sXmas Party (Party Ch)</t>
  </si>
  <si>
    <t xml:space="preserve">      8046C Christmas Cards</t>
  </si>
  <si>
    <t xml:space="preserve">      8050C Children'sEasterParty</t>
  </si>
  <si>
    <t xml:space="preserve">      8051C Closing Day</t>
  </si>
  <si>
    <t xml:space="preserve">      8053C Coffee Fund (Treas)</t>
  </si>
  <si>
    <t xml:space="preserve">      8055C Commodore's Ball (Immediate PC)</t>
  </si>
  <si>
    <t xml:space="preserve">      8056C Commodore'sThankYou (Commodore)</t>
  </si>
  <si>
    <t xml:space="preserve">      8060C Commodore's Fund (Commodore)</t>
  </si>
  <si>
    <t xml:space="preserve">      8070C Christmas Decorations</t>
  </si>
  <si>
    <t xml:space="preserve">      8073C Education</t>
  </si>
  <si>
    <t xml:space="preserve">      8075C Eight Bells (Chaplain)</t>
  </si>
  <si>
    <t xml:space="preserve">      808*C Fishing Derby (Derby Chair)</t>
  </si>
  <si>
    <t xml:space="preserve">      8080C Entertainment Chair</t>
  </si>
  <si>
    <t xml:space="preserve">      8085C Fleet Captain</t>
  </si>
  <si>
    <t xml:space="preserve">      8086C Fleet Captain Daffodil Event</t>
  </si>
  <si>
    <t xml:space="preserve">      8090C July 4th Cruise (Event Chair)</t>
  </si>
  <si>
    <t xml:space="preserve">      8091C July 4th Parade Kids Costs</t>
  </si>
  <si>
    <t xml:space="preserve">      8095C Miscellaneous Club Events</t>
  </si>
  <si>
    <t xml:space="preserve">      8101C Historian</t>
  </si>
  <si>
    <t xml:space="preserve">      8105C YC of Amer Dues (Reciprocal Ch)</t>
  </si>
  <si>
    <t xml:space="preserve">      8108C RBAW Dues</t>
  </si>
  <si>
    <t xml:space="preserve">      8115V JuniorOfficer's Ball (VC/RC)</t>
  </si>
  <si>
    <t xml:space="preserve">      8120C Kid's Program</t>
  </si>
  <si>
    <t xml:space="preserve">      8125C LaborDayCruise (Event Ch)</t>
  </si>
  <si>
    <t xml:space="preserve">      8130C LightedBoatParade(Event Ch)</t>
  </si>
  <si>
    <t xml:space="preserve">      8132C Board of Trustees (Chair)</t>
  </si>
  <si>
    <t xml:space="preserve">      813xC Meeting Night Prog (Meeting Ch)</t>
  </si>
  <si>
    <t xml:space="preserve">      8140R Membership (Member Ch)</t>
  </si>
  <si>
    <t xml:space="preserve">      8141C MembershipBoatShow(Member Ch)</t>
  </si>
  <si>
    <t xml:space="preserve">      8145C MemorialDayCruise(Event Ch)</t>
  </si>
  <si>
    <t xml:space="preserve">      8146C New Technology (Computer Ch)</t>
  </si>
  <si>
    <t xml:space="preserve">      814zR New Member Orientation</t>
  </si>
  <si>
    <t xml:space="preserve">      8150C NewYear'sEve (Event Ch)</t>
  </si>
  <si>
    <t xml:space="preserve">      8151C Officers Cruise-in (Commodore)</t>
  </si>
  <si>
    <t xml:space="preserve">      8155C Old-Timers Night</t>
  </si>
  <si>
    <t xml:space="preserve">      8160C Opening Day (Open Day Ch)</t>
  </si>
  <si>
    <t xml:space="preserve">      8162C Plng &amp; Fin Comm (Comm Chair)</t>
  </si>
  <si>
    <t xml:space="preserve">      8165C Photography (Committee)</t>
  </si>
  <si>
    <t xml:space="preserve">      8185C Regatta - Power (Chair)</t>
  </si>
  <si>
    <t xml:space="preserve">      8190C Regatta - Sail (Chair)</t>
  </si>
  <si>
    <t xml:space="preserve">      8191R Safety (Safety Chair)</t>
  </si>
  <si>
    <t xml:space="preserve">      8200R ShipStoresRev(Ship Store Chair)</t>
  </si>
  <si>
    <t xml:space="preserve">      8201R ShipStoresExp(Ship Store Chair)</t>
  </si>
  <si>
    <t xml:space="preserve">      8205C Seafair Holiday Cruise</t>
  </si>
  <si>
    <t xml:space="preserve">      8206C Pride of QCYC</t>
  </si>
  <si>
    <t xml:space="preserve">      8208C Sweetheart Dinner (Event Chair)</t>
  </si>
  <si>
    <t xml:space="preserve">      8220C Visiting (Visiting Chair)</t>
  </si>
  <si>
    <t xml:space="preserve">      8232C Leadership Retreats</t>
  </si>
  <si>
    <t xml:space="preserve">      824*C Yacht Recip (Reciporal Chair)</t>
  </si>
  <si>
    <t xml:space="preserve">      8240C Web Site Cost (Website Chair)</t>
  </si>
  <si>
    <t xml:space="preserve">      8248C Donations to BoyerCC, etc</t>
  </si>
  <si>
    <t xml:space="preserve">   Total Sch1C Committee Expenses (List)</t>
  </si>
  <si>
    <t xml:space="preserve">   Sch2V Bainbridge Exp-Inc (Wood)</t>
  </si>
  <si>
    <t xml:space="preserve">      7000V Bainbridge Income (Wood)</t>
  </si>
  <si>
    <t xml:space="preserve">         7010V Moorage-Winter</t>
  </si>
  <si>
    <t xml:space="preserve">         7020V Elect-Winter Moor</t>
  </si>
  <si>
    <t xml:space="preserve">         7030V Moor-Overnight Stays</t>
  </si>
  <si>
    <t xml:space="preserve">         7050V Bainbridge Laundry</t>
  </si>
  <si>
    <t xml:space="preserve">      Total 7000V Bainbridge Income (Wood)</t>
  </si>
  <si>
    <t xml:space="preserve">      7100V Bainbridge Expenses (Wood)</t>
  </si>
  <si>
    <t xml:space="preserve">         7110V Property Tax</t>
  </si>
  <si>
    <t xml:space="preserve">         7120V DNR Lease</t>
  </si>
  <si>
    <t xml:space="preserve">         7130V Electricity</t>
  </si>
  <si>
    <t xml:space="preserve">         7140V Utilities-Water,Garb,etc</t>
  </si>
  <si>
    <t xml:space="preserve">         7141V Water &amp; Sewer</t>
  </si>
  <si>
    <t xml:space="preserve">         7142V Propanel Gas</t>
  </si>
  <si>
    <t xml:space="preserve">         7143V Garbage</t>
  </si>
  <si>
    <t xml:space="preserve">         7146V Cable TV &amp; Internet</t>
  </si>
  <si>
    <t xml:space="preserve">         7147V Pest Control</t>
  </si>
  <si>
    <t xml:space="preserve">         7150V Maintenance/Supplies</t>
  </si>
  <si>
    <t xml:space="preserve">         7190V Security- Telephone Line &amp; Misc</t>
  </si>
  <si>
    <t xml:space="preserve">      Total 7100V Bainbridge Expenses (Wood)</t>
  </si>
  <si>
    <t xml:space="preserve">   Total Sch2V Bainbridge Exp-Inc (Wood)</t>
  </si>
  <si>
    <t xml:space="preserve">   Sch3C Spirits/Bar</t>
  </si>
  <si>
    <t xml:space="preserve">      9110C Spirits/Bar Income</t>
  </si>
  <si>
    <t xml:space="preserve">      9120C Spirits/Bar Cost of Goods Sold</t>
  </si>
  <si>
    <t xml:space="preserve">      9130C Spirits/Bar Expenses</t>
  </si>
  <si>
    <t xml:space="preserve">   Total Sch3C Spirits/Bar</t>
  </si>
  <si>
    <t xml:space="preserve">   Sch4C Stores</t>
  </si>
  <si>
    <t xml:space="preserve">      9510C Stores Income</t>
  </si>
  <si>
    <t xml:space="preserve">      9520C Stores Cost of Goods Sold</t>
  </si>
  <si>
    <t xml:space="preserve">      9530C Stores Expenses</t>
  </si>
  <si>
    <t xml:space="preserve">   Total Sch4C Stores</t>
  </si>
  <si>
    <t>Total Expenses</t>
  </si>
  <si>
    <t>Net Operating Income</t>
  </si>
  <si>
    <t>Other Expenses</t>
  </si>
  <si>
    <t xml:space="preserve">   5225B* Loan Prin Svc Xfers (Board)</t>
  </si>
  <si>
    <t xml:space="preserve">   6010B* -Reserve Fund-Xfers (Board)</t>
  </si>
  <si>
    <t xml:space="preserve">   6015B* -520 Fund - Xfers Non-Capital</t>
  </si>
  <si>
    <t xml:space="preserve">   6020B* -House Cap Impr Fd-Xfers(Board)</t>
  </si>
  <si>
    <t xml:space="preserve">   6030B* -Dock Cap Impr Fd-Xfers (Board)</t>
  </si>
  <si>
    <t xml:space="preserve">   6035B* -Dock Elect Fund Xfer</t>
  </si>
  <si>
    <t xml:space="preserve">   6036B* Capital Funds Xfers (Board)</t>
  </si>
  <si>
    <t xml:space="preserve">   6040B* -Memorial Fund - Xfers (Non-Capital)</t>
  </si>
  <si>
    <t xml:space="preserve">   6045B* -Grounds Impr Fd-Xfers (Board)</t>
  </si>
  <si>
    <t xml:space="preserve">   6050B* -BainbridCap Imp Fd-Xfer(Board)</t>
  </si>
  <si>
    <t xml:space="preserve">   6055B* -Contribution/Gift-Xfers(Board)</t>
  </si>
  <si>
    <t xml:space="preserve">   6060B* -Funds Interest- Xfers(Board)</t>
  </si>
  <si>
    <t xml:space="preserve">      6066 T-Bill Int Xfer</t>
  </si>
  <si>
    <t xml:space="preserve">   Total 6060B* -Funds Interest- Xfers(Board)</t>
  </si>
  <si>
    <t>Total Other Expenses</t>
  </si>
  <si>
    <t>Net Other Income</t>
  </si>
  <si>
    <t>Net Income</t>
  </si>
  <si>
    <t>NOTE:</t>
  </si>
  <si>
    <t xml:space="preserve">Accounts with 10% or greater variance are highlighted for quick reference and review as deemed appropriate.  </t>
  </si>
  <si>
    <t>Financials FY23-24 - BALANCE SHEET</t>
  </si>
  <si>
    <t>$ Change</t>
  </si>
  <si>
    <t>ASSETS</t>
  </si>
  <si>
    <t>Current Assets</t>
  </si>
  <si>
    <t>Checking/Savings</t>
  </si>
  <si>
    <t>1000 · Cash - General Funds</t>
  </si>
  <si>
    <t>Total Checking/Savings</t>
  </si>
  <si>
    <t>Accounts Receivable</t>
  </si>
  <si>
    <t>1101 - Accounts Receivable - Trade</t>
  </si>
  <si>
    <t>Total Accounts Receivable</t>
  </si>
  <si>
    <t>Other Current Assets</t>
  </si>
  <si>
    <t>1102 · Accounts Receivable - Other</t>
  </si>
  <si>
    <t>1111 · Due from Jr Boating</t>
  </si>
  <si>
    <t>1112 - Due from Bar</t>
  </si>
  <si>
    <t>1120 · Inv Membership Items</t>
  </si>
  <si>
    <t>1210 · Bar Inventory</t>
  </si>
  <si>
    <t>1220 · Ship's Store Inventory</t>
  </si>
  <si>
    <t>1400 · Prepaid Expenses</t>
  </si>
  <si>
    <t>1499 · Undeposited Funds</t>
  </si>
  <si>
    <t>1995 - 520 Project-Accumulated Costs</t>
  </si>
  <si>
    <t>Payroll Corrections</t>
  </si>
  <si>
    <t>Total Other Current Assets</t>
  </si>
  <si>
    <t>Total Current Assets</t>
  </si>
  <si>
    <t>Fixed Assets</t>
  </si>
  <si>
    <t>Accumulated depreciation</t>
  </si>
  <si>
    <t>Land, Property &amp; Equipment</t>
  </si>
  <si>
    <t>Total Fixed Assets</t>
  </si>
  <si>
    <t>Other Assets</t>
  </si>
  <si>
    <t>1024 - Dock Capital Imprvm. Fund</t>
  </si>
  <si>
    <t>1025 - Dock Elect Improv Fund</t>
  </si>
  <si>
    <t>1030 · Memorial Fund</t>
  </si>
  <si>
    <t>1031 · Eight Bells</t>
  </si>
  <si>
    <t>1034 · Contingency Reserve Funds</t>
  </si>
  <si>
    <t>1035 · 520 Fund</t>
  </si>
  <si>
    <t>1036 - Capital Assets Fund</t>
  </si>
  <si>
    <t>1045 · Bainbridge Capital Impr Fund</t>
  </si>
  <si>
    <t>1048 · Net Fund</t>
  </si>
  <si>
    <t>1049 · House Capital Improvement Fund</t>
  </si>
  <si>
    <t>1050 · Grounds Capital Impr Fund</t>
  </si>
  <si>
    <t>Sub-Total Other Assets</t>
  </si>
  <si>
    <t>1022 - Owed to Cash from RF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</si>
  <si>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</si>
  <si>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</si>
  <si>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</si>
  <si>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</si>
  <si>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</si>
  <si>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</si>
  <si>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2000 · Accounts Payable - Trade</t>
  </si>
  <si>
    <t>Total Accounts Payable</t>
  </si>
  <si>
    <t>Other Current Liabilities</t>
  </si>
  <si>
    <t>2100 · Payroll Liabilities</t>
  </si>
  <si>
    <t>2400 · Pending Member Dep(Benson)</t>
  </si>
  <si>
    <t>2401 · New Member Dues Credits</t>
  </si>
  <si>
    <t>2510 · Due to Jr Boating  (Ewton)</t>
  </si>
  <si>
    <t>2515 - Due to Store</t>
  </si>
  <si>
    <t>2520 - Due to Bar</t>
  </si>
  <si>
    <t>Total Other Current Liabilities</t>
  </si>
  <si>
    <t>Total Current Liabilities</t>
  </si>
  <si>
    <t>TOTAL LIABILITIES</t>
  </si>
  <si>
    <t>Equity</t>
  </si>
  <si>
    <t>3000 - Opening Balance Equity</t>
  </si>
  <si>
    <t>3900 · Retained Earnings</t>
  </si>
  <si>
    <t>6100* · Transfers recorded as expense</t>
  </si>
  <si>
    <t>TOTAL LIABILITIES &amp; EQUITY</t>
  </si>
  <si>
    <t>Financials FY23-24 - BANKING &amp; INVESTMENTS</t>
  </si>
  <si>
    <t>US TREASURY BILLS</t>
  </si>
  <si>
    <t>NATURE</t>
  </si>
  <si>
    <t>STATEMENT DATED</t>
  </si>
  <si>
    <t>ACCOUNT TYPE</t>
  </si>
  <si>
    <t>PURCHASE PRICE</t>
  </si>
  <si>
    <t>PAR AMOUNT</t>
  </si>
  <si>
    <t>TERM</t>
  </si>
  <si>
    <t>INTEREST RATE - APY</t>
  </si>
  <si>
    <t>INTEREST RETURN</t>
  </si>
  <si>
    <t>MONTHLY EQUIVALENT</t>
  </si>
  <si>
    <t>MATURITY DATE</t>
  </si>
  <si>
    <t>Acct #</t>
  </si>
  <si>
    <t>Investments</t>
  </si>
  <si>
    <t>520 Fund</t>
  </si>
  <si>
    <t>TOTAL</t>
  </si>
  <si>
    <t>1022T</t>
  </si>
  <si>
    <t>UMPQUA BANK</t>
  </si>
  <si>
    <t>CURRENT VALUE</t>
  </si>
  <si>
    <t xml:space="preserve">INTEREST EARNED </t>
  </si>
  <si>
    <t xml:space="preserve">Last # of Acct </t>
  </si>
  <si>
    <t>MM/Govt Clearing Acct</t>
  </si>
  <si>
    <t>-</t>
  </si>
  <si>
    <t>1022C</t>
  </si>
  <si>
    <t>HOMESTREET BANK</t>
  </si>
  <si>
    <t>MM*</t>
  </si>
  <si>
    <t>1022H</t>
  </si>
  <si>
    <t>FIRST SECURITY BANK</t>
  </si>
  <si>
    <t>1022G</t>
  </si>
  <si>
    <t>FIRST SECURITY BANK - SWEEP - 520 FUNDS</t>
  </si>
  <si>
    <t>Sweep</t>
  </si>
  <si>
    <t>Sweep Checking</t>
  </si>
  <si>
    <t>7300 / 1012</t>
  </si>
  <si>
    <t>Sweep MM</t>
  </si>
  <si>
    <t>1660 / 1022J</t>
  </si>
  <si>
    <t>Identified as "Deposits" - rate not provided.  Recorded as interest</t>
  </si>
  <si>
    <t>NET INVESTMENTS TOTALS</t>
  </si>
  <si>
    <t>•  T-Bills</t>
  </si>
  <si>
    <t>•  Money Market</t>
  </si>
  <si>
    <t>Banking</t>
  </si>
  <si>
    <t>•  Sweep Accounts</t>
  </si>
  <si>
    <t>•  Sub-Total</t>
  </si>
  <si>
    <t>•  Total Investments</t>
  </si>
  <si>
    <t>CHECKING ACCOUNTS</t>
  </si>
  <si>
    <t>1013 / 1010</t>
  </si>
  <si>
    <t xml:space="preserve">Spirits </t>
  </si>
  <si>
    <t>8869 /1011</t>
  </si>
  <si>
    <t>2708 / 1017</t>
  </si>
  <si>
    <t>Net Total Checking</t>
  </si>
  <si>
    <t>Financials FY23-24 - CAPITAL</t>
  </si>
  <si>
    <t>CAPITAL PROJECTS &amp; OTHERS</t>
  </si>
  <si>
    <t>FY23-24 Budget Start</t>
  </si>
  <si>
    <t>Spent</t>
  </si>
  <si>
    <t>Balance</t>
  </si>
  <si>
    <t>6020B / 1049</t>
  </si>
  <si>
    <t>•  House - Website</t>
  </si>
  <si>
    <t>Capital</t>
  </si>
  <si>
    <t>•  Sub-Total House</t>
  </si>
  <si>
    <t>6030B / 1024</t>
  </si>
  <si>
    <t>•  Seattle Docks - Caps, Stringers, Piling, Planking</t>
  </si>
  <si>
    <t xml:space="preserve">•  Seattle Docks - 520 Committee Betterments </t>
  </si>
  <si>
    <t>•  Seattle Docks - Work Slip 2 Replacement</t>
  </si>
  <si>
    <t>•  Sub-Total Seattle Docks</t>
  </si>
  <si>
    <t>6050B / 1045</t>
  </si>
  <si>
    <r>
      <t>•  Bainbridge - Pier -</t>
    </r>
    <r>
      <rPr>
        <sz val="6"/>
        <color rgb="FF6600FF"/>
        <rFont val="Arial"/>
        <family val="2"/>
      </rPr>
      <t xml:space="preserve"> </t>
    </r>
    <r>
      <rPr>
        <b/>
        <sz val="6"/>
        <color rgb="FF6600FF"/>
        <rFont val="Arial"/>
        <family val="2"/>
      </rPr>
      <t>To Be Paid by Contingency Funding</t>
    </r>
  </si>
  <si>
    <t>•  Sub-Total Bainbridge</t>
  </si>
  <si>
    <t>6040B / 1030E</t>
  </si>
  <si>
    <t>•  Memorial Fund - Reiche Gift (Non-Capital)</t>
  </si>
  <si>
    <t>Non-Capital</t>
  </si>
  <si>
    <t>•  Total Non-Capital Funds</t>
  </si>
  <si>
    <t xml:space="preserve">•  Total Capital Funds </t>
  </si>
  <si>
    <t>•  Net Totals</t>
  </si>
  <si>
    <t>QUARTERLY FUNDS ENTRIES</t>
  </si>
  <si>
    <t>Quarter Entries Last Made</t>
  </si>
  <si>
    <t>•  Capital Funds</t>
  </si>
  <si>
    <t>•  Capital Assets - FYE Carryover FY22-23</t>
  </si>
  <si>
    <t>•  Capital Assets - Contingency Match</t>
  </si>
  <si>
    <t>•  Capital Qtrly Allocations - 1Q</t>
  </si>
  <si>
    <t>•  Capital Qtrly Allocations - 2Q</t>
  </si>
  <si>
    <t>•  Capital Qtrly Allocations - 3Q</t>
  </si>
  <si>
    <t>•  Capital Qtrly Allocations - 4Q</t>
  </si>
  <si>
    <t>•  Capital Allocations FYTD</t>
  </si>
  <si>
    <t>•  Capital Spend FYTD</t>
  </si>
  <si>
    <t>•  Net Total Capital Funds</t>
  </si>
  <si>
    <t>•  Contingency Funds</t>
  </si>
  <si>
    <t>•  Contingency FYE Carryover FY22-23</t>
  </si>
  <si>
    <t>•  Contingency Allocations FYTD</t>
  </si>
  <si>
    <t>•  Contingency Spend FYTD</t>
  </si>
  <si>
    <t>•  Net Total Contingency End of Current Reporting</t>
  </si>
  <si>
    <t>•  520 Funds</t>
  </si>
  <si>
    <t>1035C</t>
  </si>
  <si>
    <t>•  520 Fund - Carryover (Prior DOT Deposit)</t>
  </si>
  <si>
    <t>1035E</t>
  </si>
  <si>
    <t>•  520 Fund - DOT Bank Principal</t>
  </si>
  <si>
    <t>1035F</t>
  </si>
  <si>
    <t>•  520 Fund - DOT T-Bills (Principal)</t>
  </si>
  <si>
    <t>1035G</t>
  </si>
  <si>
    <t>•  520 Fund - DOT Interest FYTD</t>
  </si>
  <si>
    <t>•  Net Total 520 Funds</t>
  </si>
  <si>
    <t>•  Eight Bells</t>
  </si>
  <si>
    <t>•  Memorial</t>
  </si>
  <si>
    <t>1030C</t>
  </si>
  <si>
    <t>•  Memorial - Carryover/General</t>
  </si>
  <si>
    <t>1030E</t>
  </si>
  <si>
    <t>•  Memorial - Reiche</t>
  </si>
  <si>
    <t>1030F</t>
  </si>
  <si>
    <t>•  Memorial - Williams (Golfing)</t>
  </si>
  <si>
    <t>•  Net Fund</t>
  </si>
  <si>
    <t>•  NET ALL FUNDS ALLOCATIONS</t>
  </si>
  <si>
    <t xml:space="preserve">BANKING/CASH - INVESTMENT DOLLARS </t>
  </si>
  <si>
    <t>•  Sweep - Net Total</t>
  </si>
  <si>
    <t>•  NET TOTAL</t>
  </si>
  <si>
    <t>•  Fund Allocations</t>
  </si>
  <si>
    <t>•  Owed to Cash from RF</t>
  </si>
  <si>
    <t>NOTES</t>
  </si>
  <si>
    <t>Financials FY23-24 - MEMBERSHIP</t>
  </si>
  <si>
    <t>Report Month</t>
  </si>
  <si>
    <t>YTD</t>
  </si>
  <si>
    <t>Report Date (as of)</t>
  </si>
  <si>
    <t>Yr End</t>
  </si>
  <si>
    <t>To Note</t>
  </si>
  <si>
    <t>Net</t>
  </si>
  <si>
    <t>MEMBER CLASSES</t>
  </si>
  <si>
    <t>•  Active</t>
  </si>
  <si>
    <t>•  Social (Active Social)</t>
  </si>
  <si>
    <t>•  Intermediate</t>
  </si>
  <si>
    <t>•  Life</t>
  </si>
  <si>
    <t>•  Senior Life</t>
  </si>
  <si>
    <t>Total</t>
  </si>
  <si>
    <t>•  Change M2M</t>
  </si>
  <si>
    <t>•  Pending</t>
  </si>
  <si>
    <t>•  Members Eligible for Life Class</t>
  </si>
  <si>
    <t>MONTH-TO-MONTH CHANGE PER CLASS</t>
  </si>
  <si>
    <t xml:space="preserve">Active </t>
  </si>
  <si>
    <t>Social (Active Social)</t>
  </si>
  <si>
    <t>Intermediate</t>
  </si>
  <si>
    <t>Life</t>
  </si>
  <si>
    <t>Senior Life</t>
  </si>
  <si>
    <t>NEW MEMBERS INITIATED - All Classes</t>
  </si>
  <si>
    <t>Plus Oct. New Members</t>
  </si>
  <si>
    <t>Plus Nov. New Members</t>
  </si>
  <si>
    <t>Plus Dec. New Members</t>
  </si>
  <si>
    <t>Plus Jan. New Members</t>
  </si>
  <si>
    <t>Plus Feb. New Members</t>
  </si>
  <si>
    <t>Plus Mar. New Members</t>
  </si>
  <si>
    <t>Plus Apr. New Members</t>
  </si>
  <si>
    <t>Plus May New Members</t>
  </si>
  <si>
    <t>Plus June New Members</t>
  </si>
  <si>
    <t>Plus July New Members</t>
  </si>
  <si>
    <t>Plus Aug. New Members</t>
  </si>
  <si>
    <t>Plus Sep. New Members</t>
  </si>
  <si>
    <t>Total New Members</t>
  </si>
  <si>
    <t>Financials FY23-24 - MEMBERSHIP - Lifetime Eligibility</t>
  </si>
  <si>
    <t>MEMBERS &gt; 24 YEARS</t>
  </si>
  <si>
    <t>Seniority No 2024</t>
  </si>
  <si>
    <t>Initiated</t>
  </si>
  <si>
    <t>To Date</t>
  </si>
  <si>
    <t>Length of Membership</t>
  </si>
  <si>
    <t>1</t>
  </si>
  <si>
    <t>DeLaunay, Peter Frank &amp; Wendy</t>
  </si>
  <si>
    <t>139</t>
  </si>
  <si>
    <t>04/09/1997</t>
  </si>
  <si>
    <t>2</t>
  </si>
  <si>
    <t>Lindal, Douglas F &amp; Theresa Skok</t>
  </si>
  <si>
    <t>140</t>
  </si>
  <si>
    <t>05/14/1997</t>
  </si>
  <si>
    <t>3</t>
  </si>
  <si>
    <t>McFadden, James W &amp; Lucy Zehr</t>
  </si>
  <si>
    <t>141</t>
  </si>
  <si>
    <t>4</t>
  </si>
  <si>
    <t>Hill, Jess J</t>
  </si>
  <si>
    <t>142</t>
  </si>
  <si>
    <t>06/11/1997</t>
  </si>
  <si>
    <t>5</t>
  </si>
  <si>
    <t>Rutledge, Tim C &amp; Nadeane</t>
  </si>
  <si>
    <t>143</t>
  </si>
  <si>
    <t>6</t>
  </si>
  <si>
    <t>Cooper, Charles H &amp; Dorothy</t>
  </si>
  <si>
    <t>144</t>
  </si>
  <si>
    <t>7</t>
  </si>
  <si>
    <t>Brooks, James G &amp; Lois</t>
  </si>
  <si>
    <t>145</t>
  </si>
  <si>
    <t>06/25/1997</t>
  </si>
  <si>
    <t>8</t>
  </si>
  <si>
    <t>Wilcox, Fred &amp; Sue</t>
  </si>
  <si>
    <t>378</t>
  </si>
  <si>
    <t>9</t>
  </si>
  <si>
    <t>McGrew, Raymond</t>
  </si>
  <si>
    <t>147</t>
  </si>
  <si>
    <t>10/08/1997</t>
  </si>
  <si>
    <t>10</t>
  </si>
  <si>
    <t>Renshaw, Robert C</t>
  </si>
  <si>
    <t>148</t>
  </si>
  <si>
    <t>11/12/1997</t>
  </si>
  <si>
    <t>11</t>
  </si>
  <si>
    <t>Yates, Robert &amp; Crystal</t>
  </si>
  <si>
    <t>149</t>
  </si>
  <si>
    <t>12/10/1997</t>
  </si>
  <si>
    <t>12</t>
  </si>
  <si>
    <t>Hedges Jr, Edward S</t>
  </si>
  <si>
    <t>150</t>
  </si>
  <si>
    <t>01/14/1998</t>
  </si>
  <si>
    <t>13</t>
  </si>
  <si>
    <t>Barney, Kevin S &amp; Wendy</t>
  </si>
  <si>
    <t>151</t>
  </si>
  <si>
    <t>03/11/1998</t>
  </si>
  <si>
    <t>14</t>
  </si>
  <si>
    <t>Gonsorowski, Don E &amp; Nancy</t>
  </si>
  <si>
    <t>152</t>
  </si>
  <si>
    <t>05/13/1998</t>
  </si>
  <si>
    <t>15</t>
  </si>
  <si>
    <t>Johnson, Thomas F &amp; Angie</t>
  </si>
  <si>
    <t>153</t>
  </si>
  <si>
    <t>06/24/1998</t>
  </si>
  <si>
    <t>16</t>
  </si>
  <si>
    <t>Stevenson, Ron</t>
  </si>
  <si>
    <t>154</t>
  </si>
  <si>
    <t>10/14/1998</t>
  </si>
  <si>
    <t>17</t>
  </si>
  <si>
    <t>Padgett, David L</t>
  </si>
  <si>
    <t>155</t>
  </si>
  <si>
    <t>18</t>
  </si>
  <si>
    <t>Halverson, Gary L &amp; Elaine</t>
  </si>
  <si>
    <t>156</t>
  </si>
  <si>
    <t>19</t>
  </si>
  <si>
    <t>Lindal, Robert W &amp; Sue</t>
  </si>
  <si>
    <t>157</t>
  </si>
  <si>
    <t>20</t>
  </si>
  <si>
    <t>Walsh, Mark &amp; Yvonne</t>
  </si>
  <si>
    <t>158</t>
  </si>
  <si>
    <t>21</t>
  </si>
  <si>
    <t>Langmeyer, John &amp; Marta</t>
  </si>
  <si>
    <t>159</t>
  </si>
  <si>
    <t>11/11/1998</t>
  </si>
  <si>
    <t>22</t>
  </si>
  <si>
    <t>Johnson, James F</t>
  </si>
  <si>
    <t>160</t>
  </si>
  <si>
    <t>23</t>
  </si>
  <si>
    <t>Cullen MD, Bruce F &amp; Miriam</t>
  </si>
  <si>
    <t>161</t>
  </si>
  <si>
    <t>24</t>
  </si>
  <si>
    <t>McGrew, Richard &amp; Teri</t>
  </si>
  <si>
    <t>162</t>
  </si>
  <si>
    <t>10/27/1999</t>
  </si>
  <si>
    <t>25</t>
  </si>
  <si>
    <t>Alving, John &amp; MaryLouise</t>
  </si>
  <si>
    <t>164</t>
  </si>
  <si>
    <t>26</t>
  </si>
  <si>
    <t>Wood, Eric</t>
  </si>
  <si>
    <t>163</t>
  </si>
  <si>
    <t>11/10/1999</t>
  </si>
  <si>
    <t>27</t>
  </si>
  <si>
    <t>Enslow Jr, David R &amp; Margaret</t>
  </si>
  <si>
    <t>165</t>
  </si>
  <si>
    <t>02/09/2000</t>
  </si>
  <si>
    <t>28</t>
  </si>
  <si>
    <t>Dow, Richard W &amp; Katharine</t>
  </si>
  <si>
    <t>166</t>
  </si>
  <si>
    <t xml:space="preserve">•  Wilcox, Fred &amp; Sue - mixed membership classes - Active, Active Social, returning to Active. </t>
  </si>
  <si>
    <t>No gap in being member, has 25 years of continuous membership</t>
  </si>
  <si>
    <t xml:space="preserve">Financials FY22-23 - MEMBERSHIP - Intermediates </t>
  </si>
  <si>
    <t>Updated Quarterly</t>
  </si>
  <si>
    <t>Seniority No</t>
  </si>
  <si>
    <t>Age Group</t>
  </si>
  <si>
    <t>Dues 10/01/2024</t>
  </si>
  <si>
    <t>RATES INTERMEDIATES</t>
  </si>
  <si>
    <t>Initiation Fee</t>
  </si>
  <si>
    <t>Dues</t>
  </si>
  <si>
    <t>•  Ages 21 - 25</t>
  </si>
  <si>
    <t>•  21-25</t>
  </si>
  <si>
    <t>•  Ages 26 - 30</t>
  </si>
  <si>
    <t>•  26-30</t>
  </si>
  <si>
    <t>•  Ages 31 - 35</t>
  </si>
  <si>
    <t>•  31-35</t>
  </si>
  <si>
    <t>•  Ages 36 - 39</t>
  </si>
  <si>
    <t>•  36-39</t>
  </si>
  <si>
    <t>SORT BY AMOUNT DUES PAYABLE</t>
  </si>
  <si>
    <t>Ewton, Jessica</t>
  </si>
  <si>
    <t>10/11/2023</t>
  </si>
  <si>
    <t>21-25</t>
  </si>
  <si>
    <t>Schultz, Garett</t>
  </si>
  <si>
    <t>06/08/2022</t>
  </si>
  <si>
    <t>Vanderwall, Mary</t>
  </si>
  <si>
    <t>06/09/2021</t>
  </si>
  <si>
    <t>Behen, Dillon</t>
  </si>
  <si>
    <t>26-30</t>
  </si>
  <si>
    <t>Cameron, Jake</t>
  </si>
  <si>
    <t>01/08/2020</t>
  </si>
  <si>
    <t>Cameron, Macauley</t>
  </si>
  <si>
    <t>12/11/2019</t>
  </si>
  <si>
    <t>Cameron, Morgan</t>
  </si>
  <si>
    <t>05/12/2021</t>
  </si>
  <si>
    <t>Reed, Asia-Nicole (MiMi)</t>
  </si>
  <si>
    <t>09/25/2019</t>
  </si>
  <si>
    <t>Reid, Valerie</t>
  </si>
  <si>
    <t>06/12/2019</t>
  </si>
  <si>
    <t>Richards, Christopher</t>
  </si>
  <si>
    <t>06/28/2017</t>
  </si>
  <si>
    <t>Vanderwall, Elizabeth</t>
  </si>
  <si>
    <t>10/09/2019</t>
  </si>
  <si>
    <t>Vanderwall, Jamie</t>
  </si>
  <si>
    <t>04/10/2019</t>
  </si>
  <si>
    <t>Werner, Jack</t>
  </si>
  <si>
    <t>05/13/2020</t>
  </si>
  <si>
    <t>Carlisle, Scott</t>
  </si>
  <si>
    <t>06/11/2014</t>
  </si>
  <si>
    <t>31-35</t>
  </si>
  <si>
    <t>Castrow, William N</t>
  </si>
  <si>
    <t>Ciechowski, Heather</t>
  </si>
  <si>
    <t>04/13/2022</t>
  </si>
  <si>
    <t>Geving, Erik R</t>
  </si>
  <si>
    <t>04/12/2017</t>
  </si>
  <si>
    <t>Grimm, Jeffrey P &amp; Maggie</t>
  </si>
  <si>
    <t>Mauldin, Devin &amp; Andrea</t>
  </si>
  <si>
    <t>10/14/2020</t>
  </si>
  <si>
    <t>McGrew, Taylor</t>
  </si>
  <si>
    <t>06/24/2015</t>
  </si>
  <si>
    <t>Stevenson, Michael</t>
  </si>
  <si>
    <t>06/26/2019</t>
  </si>
  <si>
    <t>Werner, Nick</t>
  </si>
  <si>
    <t>12/14/2016</t>
  </si>
  <si>
    <t>Wile, Katharine &amp; Zachary</t>
  </si>
  <si>
    <t>12/08/2021</t>
  </si>
  <si>
    <t>Yjord-Jackson, Torben &amp; Alicia</t>
  </si>
  <si>
    <t>05/10/2023</t>
  </si>
  <si>
    <t>Epstein, Marcus &amp; Ashley</t>
  </si>
  <si>
    <t>36-39</t>
  </si>
  <si>
    <t>Grimm, Robert J &amp; Jo</t>
  </si>
  <si>
    <t>Krows, Benjamin D &amp; Nicole V</t>
  </si>
  <si>
    <t>•  To Active 09/18/2025 as age 40</t>
  </si>
  <si>
    <t>Ramon, Curtis F</t>
  </si>
  <si>
    <t>Spring, Eric &amp; Katie</t>
  </si>
  <si>
    <t>04/26/2023</t>
  </si>
  <si>
    <t>•  To Active 01/13/2025 as age 40</t>
  </si>
  <si>
    <t>Stocklin, Mac</t>
  </si>
  <si>
    <t>11/12/2014</t>
  </si>
  <si>
    <t xml:space="preserve">While accounts are denoted at greater than 10% note the timing of the billing processes will affect account balances.  </t>
  </si>
  <si>
    <t>Balances are often date-driven.</t>
  </si>
  <si>
    <t>•  Total Dollars</t>
  </si>
  <si>
    <t xml:space="preserve">•  Unrestricted Funds Available </t>
  </si>
  <si>
    <t>•  Unrestricted Funds Available</t>
  </si>
  <si>
    <t>•   Less DOT / 520 Restricted Funds</t>
  </si>
  <si>
    <t>RESTRICTED / UNRESTRICTED FUNDS</t>
  </si>
  <si>
    <t>Spend FYTD</t>
  </si>
  <si>
    <t>Qtr Activity YTD</t>
  </si>
  <si>
    <t>•  RESTRICTED / UNRESTRICTED FUNDS</t>
  </si>
  <si>
    <t xml:space="preserve">   Total 501xV Utilities-Gas,Garbage (VC)</t>
  </si>
  <si>
    <t xml:space="preserve">   5050V Office Supply/Computer (Treas)</t>
  </si>
  <si>
    <t xml:space="preserve">   5060V Insurance</t>
  </si>
  <si>
    <t>TOTAL EQUITY</t>
  </si>
  <si>
    <t>FUNDS ALLOCATIONS &amp; BANKING NET</t>
  </si>
  <si>
    <t>13W</t>
  </si>
  <si>
    <t>IAABK</t>
  </si>
  <si>
    <t>IAABJ</t>
  </si>
  <si>
    <t>IAABL</t>
  </si>
  <si>
    <t>8W</t>
  </si>
  <si>
    <t xml:space="preserve">   8258 Bank Service Charges (deleted)</t>
  </si>
  <si>
    <t>Last updated 3/31/24</t>
  </si>
  <si>
    <t>Low Activity Month</t>
  </si>
  <si>
    <t>•  Net Operating - $(79.2K)</t>
  </si>
  <si>
    <t>•  One T-Bill Matured and deposted into the Money Market account, amount $100K. Will purchase another T-Bill.</t>
  </si>
  <si>
    <t>May Financials</t>
  </si>
  <si>
    <t>•  Income - $9.5K</t>
  </si>
  <si>
    <t>•  Expenses - $88.7K</t>
  </si>
  <si>
    <t>YTD Financials</t>
  </si>
  <si>
    <t>•  Income - $1.085M</t>
  </si>
  <si>
    <t>•  Expenses - $794K</t>
  </si>
  <si>
    <t>•  Net Operating - $291K</t>
  </si>
  <si>
    <t>•  Opening Day - Income $12.1K,  Expenses $13.3K, Net ($1,197)</t>
  </si>
  <si>
    <t xml:space="preserve">                           Budgeted Revenue $1,500,  Missed budget by $2,697</t>
  </si>
  <si>
    <t>•  Net YTD Overall - ($232K)</t>
  </si>
  <si>
    <t>•  Other Expenses (Restricted/Capital Funds) - $523.2K</t>
  </si>
  <si>
    <t>05/31/2024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</si>
</sst>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;[Red]\(#,##0.00\);\-\-"/>
    <numFmt numFmtId="165" formatCode="[$-409]mmmm\-yy;@"/>
    <numFmt numFmtId="166" formatCode="[$-409]mmm\-yy;@"/>
    <numFmt numFmtId="167" formatCode="mm/dd/yy;@"/>
    <numFmt numFmtId="168" formatCode="mm/dd/yyyy"/>
    <numFmt numFmtId="169" formatCode="0.0%"/>
    <numFmt numFmtId="170" formatCode="0.000%"/>
    <numFmt numFmtId="171" formatCode="#,##0.00;\-#,##0.00"/>
    <numFmt numFmtId="172" formatCode="#,##0_);[Red]\(#,##0\);\-\-"/>
    <numFmt numFmtId="173" formatCode="mm/yyyy"/>
    <numFmt numFmtId="174" formatCode="m/d/yy;@"/>
    <numFmt numFmtId="175" formatCode="0.00_);[Red]\(0.00\)"/>
    <numFmt numFmtId="176" formatCode="#,##0.00\ _€"/>
    <numFmt numFmtId="177" formatCode="0.00%;[Red]\-0.00%"/>
  </numFmts>
  <fonts count="56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rgb="FFC00000"/>
      <name val="Arial"/>
      <family val="2"/>
    </font>
    <font>
      <b/>
      <sz val="6"/>
      <color rgb="FFC00000"/>
      <name val="Arial"/>
      <family val="2"/>
    </font>
    <font>
      <sz val="6"/>
      <color rgb="FFC00000"/>
      <name val="Arial"/>
      <family val="2"/>
    </font>
    <font>
      <sz val="6"/>
      <name val="Arial"/>
      <family val="2"/>
    </font>
    <font>
      <sz val="10"/>
      <name val="Verdana"/>
      <family val="2"/>
    </font>
    <font>
      <sz val="6"/>
      <color indexed="8"/>
      <name val="Arial"/>
      <family val="2"/>
    </font>
    <font>
      <sz val="9"/>
      <color rgb="FFC00000"/>
      <name val="Arial"/>
      <family val="2"/>
    </font>
    <font>
      <sz val="9"/>
      <name val="Arial"/>
      <family val="2"/>
    </font>
    <font>
      <b/>
      <sz val="6"/>
      <color rgb="FF0033CC"/>
      <name val="Arial"/>
      <family val="2"/>
    </font>
    <font>
      <sz val="6"/>
      <color rgb="FF0033CC"/>
      <name val="Arial"/>
      <family val="2"/>
    </font>
    <font>
      <sz val="9"/>
      <color rgb="FF0033CC"/>
      <name val="Arial"/>
      <family val="2"/>
    </font>
    <font>
      <sz val="8"/>
      <name val="Arial"/>
      <family val="2"/>
    </font>
    <font>
      <b/>
      <sz val="8"/>
      <color rgb="FF6600FF"/>
      <name val="Arial"/>
      <family val="2"/>
    </font>
    <font>
      <sz val="8"/>
      <color rgb="FFC00000"/>
      <name val="Arial"/>
      <family val="2"/>
    </font>
    <font>
      <b/>
      <sz val="6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6"/>
      <color rgb="FFFF0000"/>
      <name val="Arial"/>
      <family val="2"/>
    </font>
    <font>
      <sz val="11"/>
      <color indexed="8"/>
      <name val="Aptos Narrow"/>
      <family val="2"/>
      <scheme val="minor"/>
    </font>
    <font>
      <b/>
      <sz val="8"/>
      <color rgb="FFC00000"/>
      <name val="Arial"/>
      <family val="2"/>
    </font>
    <font>
      <b/>
      <sz val="6"/>
      <color rgb="FF000000"/>
      <name val="Arial"/>
      <family val="2"/>
    </font>
    <font>
      <b/>
      <sz val="6"/>
      <color rgb="FF0070C0"/>
      <name val="Arial"/>
      <family val="2"/>
    </font>
    <font>
      <sz val="7"/>
      <name val="Arial"/>
      <family val="2"/>
    </font>
    <font>
      <b/>
      <sz val="7"/>
      <color rgb="FF000000"/>
      <name val="Arial"/>
      <family val="2"/>
    </font>
    <font>
      <sz val="6"/>
      <color rgb="FF000000"/>
      <name val="Arial"/>
      <family val="2"/>
    </font>
    <font>
      <sz val="6"/>
      <color theme="0" tint="-0.34998626667073579"/>
      <name val="Arial"/>
      <family val="2"/>
    </font>
    <font>
      <b/>
      <sz val="6"/>
      <color rgb="FF0066CC"/>
      <name val="Arial"/>
      <family val="2"/>
    </font>
    <font>
      <b/>
      <sz val="9"/>
      <color rgb="FF0066CC"/>
      <name val="Arial"/>
      <family val="2"/>
    </font>
    <font>
      <b/>
      <sz val="8"/>
      <color rgb="FF0066CC"/>
      <name val="Arial"/>
      <family val="2"/>
    </font>
    <font>
      <sz val="10"/>
      <name val="Arial"/>
      <family val="2"/>
    </font>
    <font>
      <sz val="6"/>
      <color theme="0" tint="-0.499984740745262"/>
      <name val="Arial"/>
      <family val="2"/>
    </font>
    <font>
      <b/>
      <sz val="6"/>
      <color theme="0" tint="-0.249977111117893"/>
      <name val="Arial"/>
      <family val="2"/>
    </font>
    <font>
      <b/>
      <sz val="6"/>
      <color theme="0" tint="-0.499984740745262"/>
      <name val="Arial"/>
      <family val="2"/>
    </font>
    <font>
      <sz val="6"/>
      <color rgb="FF6600FF"/>
      <name val="Arial"/>
      <family val="2"/>
    </font>
    <font>
      <b/>
      <sz val="9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6"/>
      <color rgb="FF993300"/>
      <name val="Arial"/>
      <family val="2"/>
    </font>
    <font>
      <b/>
      <sz val="6"/>
      <color rgb="FF6600FF"/>
      <name val="Arial"/>
      <family val="2"/>
    </font>
    <font>
      <b/>
      <sz val="8"/>
      <color rgb="FF0033CC"/>
      <name val="Arial"/>
      <family val="2"/>
    </font>
    <font>
      <sz val="6"/>
      <color theme="0" tint="-0.14999847407452621"/>
      <name val="Arial"/>
      <family val="2"/>
    </font>
    <font>
      <sz val="6"/>
      <color theme="1"/>
      <name val="Arial"/>
      <family val="2"/>
    </font>
    <font>
      <sz val="6"/>
      <color rgb="FF0000FF"/>
      <name val="Arial"/>
      <family val="2"/>
    </font>
    <font>
      <sz val="6"/>
      <color rgb="FF0070C0"/>
      <name val="Arial"/>
      <family val="2"/>
    </font>
    <font>
      <b/>
      <sz val="5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6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3F5F8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9" fillId="0" borderId="0"/>
    <xf numFmtId="0" fontId="1" fillId="0" borderId="0"/>
    <xf numFmtId="0" fontId="23" fillId="0" borderId="0"/>
    <xf numFmtId="0" fontId="9" fillId="0" borderId="0"/>
    <xf numFmtId="44" fontId="9" fillId="0" borderId="0" applyFont="0" applyFill="0" applyBorder="0" applyAlignment="0" applyProtection="0"/>
    <xf numFmtId="0" fontId="34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837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10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0" fontId="2" fillId="0" borderId="1" xfId="1" applyNumberFormat="1" applyFont="1" applyBorder="1"/>
    <xf numFmtId="10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/>
    <xf numFmtId="10" fontId="3" fillId="2" borderId="1" xfId="1" applyNumberFormat="1" applyFont="1" applyFill="1" applyBorder="1"/>
    <xf numFmtId="0" fontId="4" fillId="3" borderId="1" xfId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/>
    </xf>
    <xf numFmtId="164" fontId="4" fillId="3" borderId="1" xfId="1" applyNumberFormat="1" applyFont="1" applyFill="1" applyBorder="1"/>
    <xf numFmtId="10" fontId="4" fillId="3" borderId="1" xfId="1" applyNumberFormat="1" applyFont="1" applyFill="1" applyBorder="1"/>
    <xf numFmtId="0" fontId="4" fillId="3" borderId="1" xfId="1" applyFont="1" applyFill="1" applyBorder="1" applyAlignment="1">
      <alignment horizontal="left"/>
    </xf>
    <xf numFmtId="166" fontId="2" fillId="0" borderId="1" xfId="1" applyNumberFormat="1" applyFont="1" applyBorder="1" applyAlignment="1">
      <alignment horizontal="center" wrapText="1"/>
    </xf>
    <xf numFmtId="166" fontId="2" fillId="4" borderId="1" xfId="1" applyNumberFormat="1" applyFont="1" applyFill="1" applyBorder="1" applyAlignment="1">
      <alignment horizontal="center" wrapText="1"/>
    </xf>
    <xf numFmtId="10" fontId="2" fillId="4" borderId="1" xfId="1" applyNumberFormat="1" applyFont="1" applyFill="1" applyBorder="1" applyAlignment="1">
      <alignment horizontal="center" wrapText="1"/>
    </xf>
    <xf numFmtId="164" fontId="2" fillId="4" borderId="1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3" fillId="5" borderId="1" xfId="1" applyFont="1" applyFill="1" applyBorder="1"/>
    <xf numFmtId="10" fontId="3" fillId="5" borderId="1" xfId="1" applyNumberFormat="1" applyFont="1" applyFill="1" applyBorder="1" applyAlignment="1">
      <alignment horizontal="center"/>
    </xf>
    <xf numFmtId="164" fontId="3" fillId="5" borderId="1" xfId="1" applyNumberFormat="1" applyFont="1" applyFill="1" applyBorder="1"/>
    <xf numFmtId="10" fontId="5" fillId="5" borderId="1" xfId="1" applyNumberFormat="1" applyFont="1" applyFill="1" applyBorder="1"/>
    <xf numFmtId="0" fontId="3" fillId="0" borderId="1" xfId="1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10" fontId="7" fillId="0" borderId="1" xfId="1" applyNumberFormat="1" applyFont="1" applyBorder="1"/>
    <xf numFmtId="0" fontId="8" fillId="0" borderId="1" xfId="1" applyFont="1" applyBorder="1" applyAlignment="1">
      <alignment horizontal="left"/>
    </xf>
    <xf numFmtId="0" fontId="8" fillId="0" borderId="1" xfId="1" applyFont="1" applyBorder="1"/>
    <xf numFmtId="164" fontId="8" fillId="0" borderId="1" xfId="1" applyNumberFormat="1" applyFont="1" applyBorder="1"/>
    <xf numFmtId="0" fontId="2" fillId="6" borderId="1" xfId="1" applyFont="1" applyFill="1" applyBorder="1"/>
    <xf numFmtId="10" fontId="2" fillId="6" borderId="1" xfId="1" applyNumberFormat="1" applyFont="1" applyFill="1" applyBorder="1" applyAlignment="1">
      <alignment horizontal="center"/>
    </xf>
    <xf numFmtId="164" fontId="2" fillId="6" borderId="1" xfId="1" applyNumberFormat="1" applyFont="1" applyFill="1" applyBorder="1"/>
    <xf numFmtId="10" fontId="7" fillId="6" borderId="1" xfId="1" applyNumberFormat="1" applyFont="1" applyFill="1" applyBorder="1"/>
    <xf numFmtId="10" fontId="6" fillId="6" borderId="1" xfId="1" applyNumberFormat="1" applyFont="1" applyFill="1" applyBorder="1"/>
    <xf numFmtId="0" fontId="2" fillId="7" borderId="1" xfId="1" applyFont="1" applyFill="1" applyBorder="1"/>
    <xf numFmtId="10" fontId="2" fillId="7" borderId="1" xfId="1" applyNumberFormat="1" applyFont="1" applyFill="1" applyBorder="1" applyAlignment="1">
      <alignment horizontal="center"/>
    </xf>
    <xf numFmtId="164" fontId="2" fillId="7" borderId="1" xfId="1" applyNumberFormat="1" applyFont="1" applyFill="1" applyBorder="1"/>
    <xf numFmtId="10" fontId="6" fillId="7" borderId="1" xfId="1" applyNumberFormat="1" applyFont="1" applyFill="1" applyBorder="1"/>
    <xf numFmtId="164" fontId="8" fillId="0" borderId="1" xfId="2" applyNumberFormat="1" applyFont="1" applyBorder="1" applyAlignment="1">
      <alignment horizontal="right" wrapText="1"/>
    </xf>
    <xf numFmtId="164" fontId="2" fillId="0" borderId="1" xfId="2" applyNumberFormat="1" applyFont="1" applyBorder="1" applyAlignment="1">
      <alignment horizontal="right" wrapText="1"/>
    </xf>
    <xf numFmtId="10" fontId="7" fillId="0" borderId="1" xfId="2" applyNumberFormat="1" applyFont="1" applyBorder="1" applyAlignment="1">
      <alignment horizontal="right" wrapText="1"/>
    </xf>
    <xf numFmtId="164" fontId="2" fillId="7" borderId="1" xfId="2" applyNumberFormat="1" applyFont="1" applyFill="1" applyBorder="1" applyAlignment="1">
      <alignment horizontal="right" wrapText="1"/>
    </xf>
    <xf numFmtId="10" fontId="6" fillId="7" borderId="1" xfId="2" applyNumberFormat="1" applyFont="1" applyFill="1" applyBorder="1" applyAlignment="1">
      <alignment horizontal="right" wrapText="1"/>
    </xf>
    <xf numFmtId="40" fontId="10" fillId="0" borderId="1" xfId="0" applyNumberFormat="1" applyFont="1" applyBorder="1" applyAlignment="1">
      <alignment horizontal="right" wrapText="1"/>
    </xf>
    <xf numFmtId="10" fontId="11" fillId="5" borderId="1" xfId="1" applyNumberFormat="1" applyFont="1" applyFill="1" applyBorder="1"/>
    <xf numFmtId="0" fontId="12" fillId="0" borderId="1" xfId="1" applyFont="1" applyBorder="1" applyAlignment="1">
      <alignment horizontal="left"/>
    </xf>
    <xf numFmtId="10" fontId="13" fillId="7" borderId="1" xfId="1" applyNumberFormat="1" applyFont="1" applyFill="1" applyBorder="1" applyAlignment="1">
      <alignment horizontal="center"/>
    </xf>
    <xf numFmtId="10" fontId="14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3" fillId="5" borderId="1" xfId="1" applyFont="1" applyFill="1" applyBorder="1" applyAlignment="1">
      <alignment horizontal="left"/>
    </xf>
    <xf numFmtId="10" fontId="15" fillId="5" borderId="1" xfId="1" applyNumberFormat="1" applyFont="1" applyFill="1" applyBorder="1" applyAlignment="1">
      <alignment horizontal="center"/>
    </xf>
    <xf numFmtId="164" fontId="3" fillId="5" borderId="1" xfId="1" applyNumberFormat="1" applyFont="1" applyFill="1" applyBorder="1" applyAlignment="1">
      <alignment horizontal="left"/>
    </xf>
    <xf numFmtId="0" fontId="3" fillId="0" borderId="1" xfId="1" applyFont="1" applyBorder="1" applyAlignment="1">
      <alignment horizontal="center"/>
    </xf>
    <xf numFmtId="164" fontId="2" fillId="0" borderId="1" xfId="1" applyNumberFormat="1" applyFont="1" applyBorder="1" applyAlignment="1">
      <alignment horizontal="left"/>
    </xf>
    <xf numFmtId="164" fontId="8" fillId="0" borderId="1" xfId="1" applyNumberFormat="1" applyFont="1" applyBorder="1" applyAlignment="1">
      <alignment horizontal="left"/>
    </xf>
    <xf numFmtId="0" fontId="2" fillId="8" borderId="1" xfId="1" applyFont="1" applyFill="1" applyBorder="1" applyAlignment="1">
      <alignment horizontal="left"/>
    </xf>
    <xf numFmtId="10" fontId="13" fillId="8" borderId="1" xfId="1" applyNumberFormat="1" applyFont="1" applyFill="1" applyBorder="1" applyAlignment="1">
      <alignment horizontal="center"/>
    </xf>
    <xf numFmtId="164" fontId="8" fillId="8" borderId="1" xfId="1" applyNumberFormat="1" applyFont="1" applyFill="1" applyBorder="1" applyAlignment="1">
      <alignment horizontal="left"/>
    </xf>
    <xf numFmtId="164" fontId="2" fillId="8" borderId="1" xfId="1" applyNumberFormat="1" applyFont="1" applyFill="1" applyBorder="1"/>
    <xf numFmtId="10" fontId="7" fillId="8" borderId="1" xfId="1" applyNumberFormat="1" applyFont="1" applyFill="1" applyBorder="1"/>
    <xf numFmtId="10" fontId="13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164" fontId="2" fillId="8" borderId="1" xfId="1" applyNumberFormat="1" applyFont="1" applyFill="1" applyBorder="1" applyAlignment="1">
      <alignment horizontal="left"/>
    </xf>
    <xf numFmtId="164" fontId="2" fillId="8" borderId="1" xfId="1" applyNumberFormat="1" applyFont="1" applyFill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2" fillId="6" borderId="1" xfId="1" applyFont="1" applyFill="1" applyBorder="1" applyAlignment="1">
      <alignment horizontal="left"/>
    </xf>
    <xf numFmtId="0" fontId="2" fillId="6" borderId="1" xfId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0" fontId="4" fillId="0" borderId="1" xfId="1" applyFont="1" applyBorder="1" applyAlignment="1">
      <alignment horizontal="center"/>
    </xf>
    <xf numFmtId="0" fontId="16" fillId="0" borderId="1" xfId="1" applyFont="1" applyBorder="1" applyAlignment="1">
      <alignment horizontal="left"/>
    </xf>
    <xf numFmtId="0" fontId="4" fillId="0" borderId="1" xfId="1" applyFont="1" applyBorder="1"/>
    <xf numFmtId="0" fontId="3" fillId="9" borderId="1" xfId="1" applyFont="1" applyFill="1" applyBorder="1" applyAlignment="1">
      <alignment horizontal="left"/>
    </xf>
    <xf numFmtId="0" fontId="3" fillId="9" borderId="1" xfId="1" applyFont="1" applyFill="1" applyBorder="1"/>
    <xf numFmtId="0" fontId="4" fillId="10" borderId="1" xfId="1" applyFont="1" applyFill="1" applyBorder="1" applyAlignment="1">
      <alignment horizontal="center"/>
    </xf>
    <xf numFmtId="0" fontId="4" fillId="10" borderId="1" xfId="1" applyFont="1" applyFill="1" applyBorder="1" applyAlignment="1">
      <alignment horizontal="left"/>
    </xf>
    <xf numFmtId="165" fontId="4" fillId="10" borderId="1" xfId="1" applyNumberFormat="1" applyFont="1" applyFill="1" applyBorder="1" applyAlignment="1">
      <alignment horizontal="left"/>
    </xf>
    <xf numFmtId="0" fontId="4" fillId="0" borderId="1" xfId="3" applyFont="1" applyBorder="1" applyAlignment="1">
      <alignment horizontal="left" wrapText="1"/>
    </xf>
    <xf numFmtId="0" fontId="4" fillId="0" borderId="1" xfId="3" applyFont="1" applyBorder="1" applyAlignment="1">
      <alignment horizontal="right" wrapText="1"/>
    </xf>
    <xf numFmtId="0" fontId="16" fillId="0" borderId="1" xfId="3" applyFont="1" applyBorder="1" applyAlignment="1">
      <alignment wrapText="1"/>
    </xf>
    <xf numFmtId="0" fontId="16" fillId="0" borderId="1" xfId="3" applyFont="1" applyBorder="1" applyAlignment="1">
      <alignment horizontal="left" wrapText="1"/>
    </xf>
    <xf numFmtId="0" fontId="12" fillId="0" borderId="1" xfId="3" applyFont="1" applyBorder="1" applyAlignment="1">
      <alignment wrapText="1"/>
    </xf>
    <xf numFmtId="0" fontId="19" fillId="0" borderId="1" xfId="1" applyFont="1" applyBorder="1" applyAlignment="1">
      <alignment horizontal="center"/>
    </xf>
    <xf numFmtId="40" fontId="2" fillId="0" borderId="1" xfId="1" applyNumberFormat="1" applyFont="1" applyBorder="1" applyAlignment="1">
      <alignment horizontal="right"/>
    </xf>
    <xf numFmtId="40" fontId="2" fillId="0" borderId="1" xfId="1" applyNumberFormat="1" applyFont="1" applyBorder="1" applyAlignment="1">
      <alignment horizontal="left"/>
    </xf>
    <xf numFmtId="0" fontId="20" fillId="9" borderId="1" xfId="1" applyFont="1" applyFill="1" applyBorder="1" applyAlignment="1">
      <alignment horizontal="center"/>
    </xf>
    <xf numFmtId="40" fontId="3" fillId="9" borderId="1" xfId="1" applyNumberFormat="1" applyFont="1" applyFill="1" applyBorder="1" applyAlignment="1">
      <alignment horizontal="right"/>
    </xf>
    <xf numFmtId="10" fontId="3" fillId="9" borderId="1" xfId="1" applyNumberFormat="1" applyFont="1" applyFill="1" applyBorder="1" applyAlignment="1">
      <alignment horizontal="right"/>
    </xf>
    <xf numFmtId="40" fontId="3" fillId="9" borderId="1" xfId="1" applyNumberFormat="1" applyFont="1" applyFill="1" applyBorder="1" applyAlignment="1">
      <alignment horizontal="left"/>
    </xf>
    <xf numFmtId="165" fontId="21" fillId="10" borderId="1" xfId="1" applyNumberFormat="1" applyFont="1" applyFill="1" applyBorder="1" applyAlignment="1">
      <alignment horizontal="center"/>
    </xf>
    <xf numFmtId="40" fontId="4" fillId="10" borderId="1" xfId="1" applyNumberFormat="1" applyFont="1" applyFill="1" applyBorder="1" applyAlignment="1">
      <alignment horizontal="right"/>
    </xf>
    <xf numFmtId="10" fontId="4" fillId="10" borderId="1" xfId="1" applyNumberFormat="1" applyFont="1" applyFill="1" applyBorder="1" applyAlignment="1">
      <alignment horizontal="right"/>
    </xf>
    <xf numFmtId="40" fontId="4" fillId="10" borderId="1" xfId="1" applyNumberFormat="1" applyFont="1" applyFill="1" applyBorder="1" applyAlignment="1">
      <alignment horizontal="left"/>
    </xf>
    <xf numFmtId="0" fontId="4" fillId="10" borderId="1" xfId="1" applyFont="1" applyFill="1" applyBorder="1"/>
    <xf numFmtId="49" fontId="19" fillId="0" borderId="1" xfId="2" applyNumberFormat="1" applyFont="1" applyBorder="1" applyAlignment="1">
      <alignment horizontal="center"/>
    </xf>
    <xf numFmtId="49" fontId="2" fillId="0" borderId="1" xfId="2" applyNumberFormat="1" applyFont="1" applyBorder="1"/>
    <xf numFmtId="40" fontId="2" fillId="0" borderId="1" xfId="2" applyNumberFormat="1" applyFont="1" applyBorder="1" applyAlignment="1">
      <alignment horizontal="right"/>
    </xf>
    <xf numFmtId="10" fontId="2" fillId="0" borderId="1" xfId="2" applyNumberFormat="1" applyFont="1" applyBorder="1" applyAlignment="1">
      <alignment horizontal="right"/>
    </xf>
    <xf numFmtId="40" fontId="2" fillId="0" borderId="1" xfId="2" applyNumberFormat="1" applyFont="1" applyBorder="1"/>
    <xf numFmtId="0" fontId="2" fillId="0" borderId="1" xfId="2" applyFont="1" applyBorder="1"/>
    <xf numFmtId="40" fontId="2" fillId="10" borderId="1" xfId="2" applyNumberFormat="1" applyFont="1" applyFill="1" applyBorder="1" applyAlignment="1">
      <alignment horizontal="center" wrapText="1"/>
    </xf>
    <xf numFmtId="10" fontId="2" fillId="10" borderId="1" xfId="2" applyNumberFormat="1" applyFont="1" applyFill="1" applyBorder="1" applyAlignment="1">
      <alignment horizontal="center" wrapText="1"/>
    </xf>
    <xf numFmtId="40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49" fontId="22" fillId="0" borderId="1" xfId="2" applyNumberFormat="1" applyFont="1" applyBorder="1" applyAlignment="1">
      <alignment horizontal="center"/>
    </xf>
    <xf numFmtId="49" fontId="8" fillId="0" borderId="1" xfId="2" applyNumberFormat="1" applyFont="1" applyBorder="1"/>
    <xf numFmtId="40" fontId="8" fillId="0" borderId="1" xfId="2" applyNumberFormat="1" applyFont="1" applyBorder="1" applyAlignment="1">
      <alignment horizontal="right" wrapText="1"/>
    </xf>
    <xf numFmtId="40" fontId="2" fillId="0" borderId="1" xfId="2" applyNumberFormat="1" applyFont="1" applyBorder="1" applyAlignment="1">
      <alignment horizontal="right" wrapText="1"/>
    </xf>
    <xf numFmtId="10" fontId="8" fillId="0" borderId="1" xfId="2" applyNumberFormat="1" applyFont="1" applyBorder="1" applyAlignment="1">
      <alignment horizontal="right" wrapText="1"/>
    </xf>
    <xf numFmtId="40" fontId="8" fillId="0" borderId="1" xfId="2" applyNumberFormat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22" fillId="0" borderId="1" xfId="4" applyFont="1" applyBorder="1" applyAlignment="1">
      <alignment horizontal="center"/>
    </xf>
    <xf numFmtId="40" fontId="10" fillId="0" borderId="1" xfId="4" applyNumberFormat="1" applyFont="1" applyBorder="1"/>
    <xf numFmtId="0" fontId="10" fillId="0" borderId="1" xfId="4" applyFont="1" applyBorder="1"/>
    <xf numFmtId="0" fontId="0" fillId="0" borderId="1" xfId="0" applyBorder="1"/>
    <xf numFmtId="40" fontId="0" fillId="0" borderId="1" xfId="0" applyNumberFormat="1" applyBorder="1" applyAlignment="1">
      <alignment horizontal="right"/>
    </xf>
    <xf numFmtId="10" fontId="0" fillId="0" borderId="1" xfId="0" applyNumberFormat="1" applyBorder="1" applyAlignment="1">
      <alignment horizontal="right"/>
    </xf>
    <xf numFmtId="40" fontId="8" fillId="0" borderId="1" xfId="4" applyNumberFormat="1" applyFont="1" applyBorder="1" applyAlignment="1">
      <alignment horizontal="right"/>
    </xf>
    <xf numFmtId="40" fontId="2" fillId="0" borderId="1" xfId="4" applyNumberFormat="1" applyFont="1" applyBorder="1" applyAlignment="1">
      <alignment horizontal="right"/>
    </xf>
    <xf numFmtId="10" fontId="8" fillId="0" borderId="1" xfId="4" applyNumberFormat="1" applyFont="1" applyBorder="1" applyAlignment="1">
      <alignment horizontal="right"/>
    </xf>
    <xf numFmtId="0" fontId="6" fillId="0" borderId="0" xfId="1" applyFont="1" applyAlignment="1">
      <alignment horizontal="center"/>
    </xf>
    <xf numFmtId="0" fontId="8" fillId="0" borderId="0" xfId="1" applyFont="1"/>
    <xf numFmtId="10" fontId="14" fillId="0" borderId="0" xfId="1" applyNumberFormat="1" applyFont="1" applyAlignment="1">
      <alignment horizontal="right"/>
    </xf>
    <xf numFmtId="40" fontId="8" fillId="0" borderId="0" xfId="1" applyNumberFormat="1" applyFont="1" applyAlignment="1">
      <alignment horizontal="left"/>
    </xf>
    <xf numFmtId="40" fontId="14" fillId="0" borderId="0" xfId="1" applyNumberFormat="1" applyFont="1" applyAlignment="1">
      <alignment horizontal="right"/>
    </xf>
    <xf numFmtId="40" fontId="8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5" fillId="9" borderId="0" xfId="1" applyFont="1" applyFill="1" applyAlignment="1">
      <alignment horizontal="center"/>
    </xf>
    <xf numFmtId="0" fontId="3" fillId="9" borderId="0" xfId="1" applyFont="1" applyFill="1"/>
    <xf numFmtId="0" fontId="3" fillId="9" borderId="0" xfId="1" applyFont="1" applyFill="1" applyAlignment="1">
      <alignment horizontal="center"/>
    </xf>
    <xf numFmtId="40" fontId="3" fillId="9" borderId="0" xfId="1" applyNumberFormat="1" applyFont="1" applyFill="1" applyAlignment="1">
      <alignment horizontal="left"/>
    </xf>
    <xf numFmtId="40" fontId="3" fillId="9" borderId="0" xfId="1" applyNumberFormat="1" applyFont="1" applyFill="1" applyAlignment="1">
      <alignment horizontal="center"/>
    </xf>
    <xf numFmtId="164" fontId="3" fillId="9" borderId="0" xfId="1" applyNumberFormat="1" applyFont="1" applyFill="1" applyAlignment="1">
      <alignment horizontal="center"/>
    </xf>
    <xf numFmtId="0" fontId="3" fillId="9" borderId="0" xfId="1" applyFont="1" applyFill="1" applyAlignment="1">
      <alignment horizontal="left"/>
    </xf>
    <xf numFmtId="0" fontId="24" fillId="10" borderId="0" xfId="1" applyFont="1" applyFill="1" applyAlignment="1">
      <alignment horizontal="center"/>
    </xf>
    <xf numFmtId="165" fontId="4" fillId="10" borderId="0" xfId="1" applyNumberFormat="1" applyFont="1" applyFill="1" applyAlignment="1">
      <alignment horizontal="left"/>
    </xf>
    <xf numFmtId="40" fontId="4" fillId="10" borderId="0" xfId="1" applyNumberFormat="1" applyFont="1" applyFill="1" applyAlignment="1">
      <alignment horizontal="left"/>
    </xf>
    <xf numFmtId="40" fontId="4" fillId="10" borderId="0" xfId="1" applyNumberFormat="1" applyFont="1" applyFill="1" applyAlignment="1">
      <alignment horizontal="center"/>
    </xf>
    <xf numFmtId="164" fontId="4" fillId="10" borderId="0" xfId="1" applyNumberFormat="1" applyFont="1" applyFill="1" applyAlignment="1">
      <alignment horizontal="left"/>
    </xf>
    <xf numFmtId="0" fontId="4" fillId="10" borderId="0" xfId="1" applyFont="1" applyFill="1" applyAlignment="1">
      <alignment horizontal="center"/>
    </xf>
    <xf numFmtId="0" fontId="4" fillId="10" borderId="0" xfId="1" applyFont="1" applyFill="1" applyAlignment="1">
      <alignment horizontal="left"/>
    </xf>
    <xf numFmtId="49" fontId="25" fillId="0" borderId="0" xfId="5" applyNumberFormat="1" applyFont="1"/>
    <xf numFmtId="49" fontId="6" fillId="0" borderId="0" xfId="5" applyNumberFormat="1" applyFont="1" applyAlignment="1">
      <alignment horizontal="center"/>
    </xf>
    <xf numFmtId="40" fontId="8" fillId="0" borderId="0" xfId="5" applyNumberFormat="1" applyFont="1"/>
    <xf numFmtId="40" fontId="26" fillId="0" borderId="0" xfId="5" applyNumberFormat="1" applyFont="1"/>
    <xf numFmtId="0" fontId="8" fillId="0" borderId="0" xfId="5" applyFont="1" applyAlignment="1">
      <alignment horizontal="center"/>
    </xf>
    <xf numFmtId="0" fontId="8" fillId="0" borderId="0" xfId="5" applyFont="1"/>
    <xf numFmtId="49" fontId="25" fillId="0" borderId="0" xfId="5" applyNumberFormat="1" applyFont="1" applyAlignment="1">
      <alignment horizontal="center"/>
    </xf>
    <xf numFmtId="167" fontId="28" fillId="10" borderId="2" xfId="5" applyNumberFormat="1" applyFont="1" applyFill="1" applyBorder="1" applyAlignment="1">
      <alignment horizontal="center"/>
    </xf>
    <xf numFmtId="40" fontId="28" fillId="10" borderId="2" xfId="5" applyNumberFormat="1" applyFont="1" applyFill="1" applyBorder="1" applyAlignment="1">
      <alignment horizontal="center"/>
    </xf>
    <xf numFmtId="40" fontId="26" fillId="0" borderId="0" xfId="5" applyNumberFormat="1" applyFont="1" applyAlignment="1">
      <alignment horizontal="center"/>
    </xf>
    <xf numFmtId="40" fontId="25" fillId="0" borderId="0" xfId="5" applyNumberFormat="1" applyFont="1"/>
    <xf numFmtId="0" fontId="2" fillId="0" borderId="0" xfId="5" applyFont="1"/>
    <xf numFmtId="49" fontId="2" fillId="0" borderId="0" xfId="5" applyNumberFormat="1" applyFont="1"/>
    <xf numFmtId="49" fontId="29" fillId="0" borderId="0" xfId="5" applyNumberFormat="1" applyFont="1"/>
    <xf numFmtId="0" fontId="30" fillId="0" borderId="0" xfId="5" applyFont="1" applyAlignment="1">
      <alignment horizontal="center"/>
    </xf>
    <xf numFmtId="40" fontId="29" fillId="0" borderId="1" xfId="5" applyNumberFormat="1" applyFont="1" applyBorder="1"/>
    <xf numFmtId="40" fontId="25" fillId="13" borderId="1" xfId="5" applyNumberFormat="1" applyFont="1" applyFill="1" applyBorder="1"/>
    <xf numFmtId="40" fontId="25" fillId="0" borderId="1" xfId="5" applyNumberFormat="1" applyFont="1" applyBorder="1"/>
    <xf numFmtId="0" fontId="29" fillId="0" borderId="0" xfId="5" applyFont="1" applyAlignment="1">
      <alignment horizontal="left"/>
    </xf>
    <xf numFmtId="49" fontId="25" fillId="13" borderId="0" xfId="5" applyNumberFormat="1" applyFont="1" applyFill="1"/>
    <xf numFmtId="49" fontId="6" fillId="13" borderId="0" xfId="5" applyNumberFormat="1" applyFont="1" applyFill="1" applyAlignment="1">
      <alignment horizontal="center"/>
    </xf>
    <xf numFmtId="40" fontId="8" fillId="0" borderId="1" xfId="5" applyNumberFormat="1" applyFont="1" applyBorder="1"/>
    <xf numFmtId="0" fontId="8" fillId="0" borderId="0" xfId="5" applyFont="1" applyAlignment="1">
      <alignment horizontal="left"/>
    </xf>
    <xf numFmtId="49" fontId="25" fillId="13" borderId="0" xfId="5" applyNumberFormat="1" applyFont="1" applyFill="1" applyAlignment="1">
      <alignment horizontal="center"/>
    </xf>
    <xf numFmtId="49" fontId="29" fillId="0" borderId="0" xfId="5" applyNumberFormat="1" applyFont="1" applyAlignment="1">
      <alignment horizontal="center"/>
    </xf>
    <xf numFmtId="0" fontId="25" fillId="0" borderId="0" xfId="5" applyFont="1"/>
    <xf numFmtId="0" fontId="6" fillId="0" borderId="0" xfId="5" applyFont="1" applyAlignment="1">
      <alignment horizontal="center"/>
    </xf>
    <xf numFmtId="49" fontId="7" fillId="0" borderId="0" xfId="5" applyNumberFormat="1" applyFont="1" applyAlignment="1">
      <alignment horizontal="center"/>
    </xf>
    <xf numFmtId="0" fontId="29" fillId="0" borderId="0" xfId="5" applyFont="1"/>
    <xf numFmtId="49" fontId="29" fillId="13" borderId="0" xfId="5" applyNumberFormat="1" applyFont="1" applyFill="1"/>
    <xf numFmtId="49" fontId="25" fillId="6" borderId="0" xfId="5" applyNumberFormat="1" applyFont="1" applyFill="1"/>
    <xf numFmtId="49" fontId="29" fillId="6" borderId="0" xfId="5" applyNumberFormat="1" applyFont="1" applyFill="1"/>
    <xf numFmtId="49" fontId="6" fillId="6" borderId="0" xfId="5" applyNumberFormat="1" applyFont="1" applyFill="1" applyAlignment="1">
      <alignment horizontal="center"/>
    </xf>
    <xf numFmtId="40" fontId="25" fillId="6" borderId="1" xfId="5" applyNumberFormat="1" applyFont="1" applyFill="1" applyBorder="1"/>
    <xf numFmtId="0" fontId="25" fillId="13" borderId="0" xfId="5" applyFont="1" applyFill="1"/>
    <xf numFmtId="0" fontId="6" fillId="13" borderId="0" xfId="5" applyFont="1" applyFill="1" applyAlignment="1">
      <alignment horizontal="center"/>
    </xf>
    <xf numFmtId="0" fontId="2" fillId="0" borderId="0" xfId="5" applyFont="1" applyAlignment="1">
      <alignment horizontal="center"/>
    </xf>
    <xf numFmtId="40" fontId="2" fillId="0" borderId="0" xfId="5" applyNumberFormat="1" applyFont="1"/>
    <xf numFmtId="0" fontId="29" fillId="6" borderId="0" xfId="5" applyFont="1" applyFill="1"/>
    <xf numFmtId="0" fontId="6" fillId="6" borderId="0" xfId="5" applyFont="1" applyFill="1" applyAlignment="1">
      <alignment horizontal="center"/>
    </xf>
    <xf numFmtId="40" fontId="30" fillId="0" borderId="0" xfId="5" applyNumberFormat="1" applyFont="1"/>
    <xf numFmtId="0" fontId="8" fillId="0" borderId="0" xfId="1" applyFont="1" applyAlignment="1">
      <alignment wrapText="1"/>
    </xf>
    <xf numFmtId="168" fontId="8" fillId="0" borderId="0" xfId="1" applyNumberFormat="1" applyFont="1" applyAlignment="1">
      <alignment horizontal="right"/>
    </xf>
    <xf numFmtId="0" fontId="8" fillId="0" borderId="0" xfId="1" applyFont="1" applyAlignment="1">
      <alignment horizontal="right"/>
    </xf>
    <xf numFmtId="164" fontId="2" fillId="0" borderId="0" xfId="1" applyNumberFormat="1" applyFont="1" applyAlignment="1">
      <alignment horizontal="right" wrapText="1"/>
    </xf>
    <xf numFmtId="164" fontId="2" fillId="0" borderId="0" xfId="1" applyNumberFormat="1" applyFont="1" applyAlignment="1">
      <alignment horizontal="right"/>
    </xf>
    <xf numFmtId="169" fontId="6" fillId="0" borderId="0" xfId="1" applyNumberFormat="1" applyFont="1" applyAlignment="1">
      <alignment horizontal="right"/>
    </xf>
    <xf numFmtId="170" fontId="14" fillId="0" borderId="0" xfId="1" applyNumberFormat="1" applyFont="1" applyAlignment="1">
      <alignment horizontal="right"/>
    </xf>
    <xf numFmtId="164" fontId="31" fillId="0" borderId="0" xfId="1" applyNumberFormat="1" applyFont="1" applyAlignment="1">
      <alignment horizontal="right"/>
    </xf>
    <xf numFmtId="0" fontId="2" fillId="0" borderId="0" xfId="1" applyFont="1" applyAlignment="1">
      <alignment horizontal="left"/>
    </xf>
    <xf numFmtId="0" fontId="5" fillId="14" borderId="0" xfId="1" applyFont="1" applyFill="1" applyAlignment="1">
      <alignment horizontal="center"/>
    </xf>
    <xf numFmtId="0" fontId="3" fillId="14" borderId="0" xfId="1" applyFont="1" applyFill="1"/>
    <xf numFmtId="168" fontId="12" fillId="14" borderId="0" xfId="1" applyNumberFormat="1" applyFont="1" applyFill="1" applyAlignment="1">
      <alignment horizontal="center"/>
    </xf>
    <xf numFmtId="0" fontId="12" fillId="14" borderId="0" xfId="1" applyFont="1" applyFill="1" applyAlignment="1">
      <alignment horizontal="center"/>
    </xf>
    <xf numFmtId="164" fontId="3" fillId="14" borderId="0" xfId="1" applyNumberFormat="1" applyFont="1" applyFill="1" applyAlignment="1">
      <alignment horizontal="left" wrapText="1"/>
    </xf>
    <xf numFmtId="164" fontId="3" fillId="14" borderId="0" xfId="1" applyNumberFormat="1" applyFont="1" applyFill="1" applyAlignment="1">
      <alignment horizontal="center"/>
    </xf>
    <xf numFmtId="40" fontId="3" fillId="14" borderId="0" xfId="1" applyNumberFormat="1" applyFont="1" applyFill="1" applyAlignment="1">
      <alignment horizontal="center"/>
    </xf>
    <xf numFmtId="169" fontId="3" fillId="14" borderId="0" xfId="1" applyNumberFormat="1" applyFont="1" applyFill="1" applyAlignment="1">
      <alignment horizontal="center"/>
    </xf>
    <xf numFmtId="170" fontId="3" fillId="14" borderId="0" xfId="1" applyNumberFormat="1" applyFont="1" applyFill="1" applyAlignment="1">
      <alignment horizontal="center"/>
    </xf>
    <xf numFmtId="164" fontId="32" fillId="14" borderId="0" xfId="1" applyNumberFormat="1" applyFont="1" applyFill="1" applyAlignment="1">
      <alignment horizontal="center"/>
    </xf>
    <xf numFmtId="0" fontId="3" fillId="14" borderId="0" xfId="1" applyFont="1" applyFill="1" applyAlignment="1">
      <alignment horizontal="left"/>
    </xf>
    <xf numFmtId="0" fontId="16" fillId="10" borderId="0" xfId="1" applyFont="1" applyFill="1" applyAlignment="1">
      <alignment horizontal="left"/>
    </xf>
    <xf numFmtId="164" fontId="4" fillId="10" borderId="0" xfId="1" applyNumberFormat="1" applyFont="1" applyFill="1" applyAlignment="1">
      <alignment horizontal="left" wrapText="1"/>
    </xf>
    <xf numFmtId="169" fontId="4" fillId="10" borderId="0" xfId="1" applyNumberFormat="1" applyFont="1" applyFill="1" applyAlignment="1">
      <alignment horizontal="center"/>
    </xf>
    <xf numFmtId="170" fontId="4" fillId="10" borderId="0" xfId="1" applyNumberFormat="1" applyFont="1" applyFill="1" applyAlignment="1">
      <alignment horizontal="center"/>
    </xf>
    <xf numFmtId="164" fontId="33" fillId="10" borderId="0" xfId="1" applyNumberFormat="1" applyFont="1" applyFill="1" applyAlignment="1">
      <alignment horizontal="left"/>
    </xf>
    <xf numFmtId="164" fontId="4" fillId="10" borderId="0" xfId="1" applyNumberFormat="1" applyFont="1" applyFill="1" applyAlignment="1">
      <alignment horizontal="center"/>
    </xf>
    <xf numFmtId="167" fontId="8" fillId="0" borderId="0" xfId="5" applyNumberFormat="1" applyFont="1" applyAlignment="1">
      <alignment horizontal="left" wrapText="1"/>
    </xf>
    <xf numFmtId="168" fontId="8" fillId="0" borderId="0" xfId="5" applyNumberFormat="1" applyFont="1" applyAlignment="1">
      <alignment horizontal="left"/>
    </xf>
    <xf numFmtId="14" fontId="2" fillId="0" borderId="0" xfId="5" applyNumberFormat="1" applyFont="1" applyAlignment="1">
      <alignment horizontal="left" wrapText="1"/>
    </xf>
    <xf numFmtId="43" fontId="2" fillId="0" borderId="0" xfId="5" applyNumberFormat="1" applyFont="1"/>
    <xf numFmtId="170" fontId="2" fillId="0" borderId="0" xfId="5" applyNumberFormat="1" applyFont="1" applyAlignment="1">
      <alignment horizontal="center"/>
    </xf>
    <xf numFmtId="40" fontId="2" fillId="0" borderId="0" xfId="5" applyNumberFormat="1" applyFont="1" applyAlignment="1">
      <alignment horizontal="center"/>
    </xf>
    <xf numFmtId="1" fontId="2" fillId="0" borderId="0" xfId="5" applyNumberFormat="1" applyFont="1" applyAlignment="1">
      <alignment horizontal="center"/>
    </xf>
    <xf numFmtId="167" fontId="31" fillId="0" borderId="0" xfId="5" applyNumberFormat="1" applyFont="1" applyAlignment="1">
      <alignment horizontal="center"/>
    </xf>
    <xf numFmtId="167" fontId="16" fillId="13" borderId="3" xfId="5" applyNumberFormat="1" applyFont="1" applyFill="1" applyBorder="1" applyAlignment="1">
      <alignment wrapText="1"/>
    </xf>
    <xf numFmtId="168" fontId="16" fillId="13" borderId="4" xfId="5" applyNumberFormat="1" applyFont="1" applyFill="1" applyBorder="1"/>
    <xf numFmtId="0" fontId="16" fillId="13" borderId="4" xfId="5" applyFont="1" applyFill="1" applyBorder="1"/>
    <xf numFmtId="0" fontId="16" fillId="13" borderId="5" xfId="5" applyFont="1" applyFill="1" applyBorder="1" applyAlignment="1">
      <alignment horizontal="center" wrapText="1"/>
    </xf>
    <xf numFmtId="0" fontId="4" fillId="13" borderId="5" xfId="5" applyFont="1" applyFill="1" applyBorder="1" applyAlignment="1">
      <alignment horizontal="right"/>
    </xf>
    <xf numFmtId="43" fontId="4" fillId="13" borderId="5" xfId="5" applyNumberFormat="1" applyFont="1" applyFill="1" applyBorder="1" applyAlignment="1">
      <alignment horizontal="right"/>
    </xf>
    <xf numFmtId="0" fontId="4" fillId="13" borderId="5" xfId="5" applyFont="1" applyFill="1" applyBorder="1" applyAlignment="1">
      <alignment horizontal="center"/>
    </xf>
    <xf numFmtId="170" fontId="16" fillId="13" borderId="5" xfId="5" applyNumberFormat="1" applyFont="1" applyFill="1" applyBorder="1" applyAlignment="1">
      <alignment horizontal="center"/>
    </xf>
    <xf numFmtId="40" fontId="16" fillId="13" borderId="5" xfId="5" applyNumberFormat="1" applyFont="1" applyFill="1" applyBorder="1" applyAlignment="1">
      <alignment horizontal="center"/>
    </xf>
    <xf numFmtId="1" fontId="16" fillId="13" borderId="5" xfId="5" applyNumberFormat="1" applyFont="1" applyFill="1" applyBorder="1" applyAlignment="1">
      <alignment horizontal="center"/>
    </xf>
    <xf numFmtId="167" fontId="33" fillId="13" borderId="6" xfId="5" applyNumberFormat="1" applyFont="1" applyFill="1" applyBorder="1" applyAlignment="1">
      <alignment horizontal="center"/>
    </xf>
    <xf numFmtId="167" fontId="2" fillId="8" borderId="7" xfId="5" applyNumberFormat="1" applyFont="1" applyFill="1" applyBorder="1" applyAlignment="1">
      <alignment horizontal="center" wrapText="1"/>
    </xf>
    <xf numFmtId="168" fontId="2" fillId="8" borderId="8" xfId="5" applyNumberFormat="1" applyFont="1" applyFill="1" applyBorder="1" applyAlignment="1">
      <alignment horizontal="center" wrapText="1"/>
    </xf>
    <xf numFmtId="0" fontId="8" fillId="8" borderId="8" xfId="5" applyFont="1" applyFill="1" applyBorder="1" applyAlignment="1">
      <alignment horizontal="center" wrapText="1"/>
    </xf>
    <xf numFmtId="167" fontId="2" fillId="8" borderId="1" xfId="5" applyNumberFormat="1" applyFont="1" applyFill="1" applyBorder="1" applyAlignment="1">
      <alignment horizontal="center" wrapText="1"/>
    </xf>
    <xf numFmtId="43" fontId="2" fillId="8" borderId="1" xfId="5" applyNumberFormat="1" applyFont="1" applyFill="1" applyBorder="1" applyAlignment="1">
      <alignment horizontal="center" wrapText="1"/>
    </xf>
    <xf numFmtId="0" fontId="2" fillId="8" borderId="1" xfId="5" applyFont="1" applyFill="1" applyBorder="1" applyAlignment="1">
      <alignment horizontal="center" wrapText="1"/>
    </xf>
    <xf numFmtId="40" fontId="2" fillId="8" borderId="1" xfId="5" applyNumberFormat="1" applyFont="1" applyFill="1" applyBorder="1" applyAlignment="1">
      <alignment horizontal="center" wrapText="1"/>
    </xf>
    <xf numFmtId="44" fontId="2" fillId="8" borderId="1" xfId="6" applyFont="1" applyFill="1" applyBorder="1" applyAlignment="1">
      <alignment horizontal="center" wrapText="1"/>
    </xf>
    <xf numFmtId="170" fontId="2" fillId="8" borderId="1" xfId="6" applyNumberFormat="1" applyFont="1" applyFill="1" applyBorder="1" applyAlignment="1">
      <alignment horizontal="center" wrapText="1"/>
    </xf>
    <xf numFmtId="40" fontId="2" fillId="8" borderId="1" xfId="6" applyNumberFormat="1" applyFont="1" applyFill="1" applyBorder="1" applyAlignment="1">
      <alignment horizontal="center" wrapText="1"/>
    </xf>
    <xf numFmtId="167" fontId="2" fillId="8" borderId="9" xfId="5" applyNumberFormat="1" applyFont="1" applyFill="1" applyBorder="1" applyAlignment="1">
      <alignment horizontal="center" wrapText="1"/>
    </xf>
    <xf numFmtId="167" fontId="8" fillId="0" borderId="7" xfId="5" applyNumberFormat="1" applyFont="1" applyBorder="1" applyAlignment="1">
      <alignment horizontal="center" wrapText="1"/>
    </xf>
    <xf numFmtId="168" fontId="8" fillId="0" borderId="8" xfId="5" applyNumberFormat="1" applyFont="1" applyBorder="1" applyAlignment="1">
      <alignment horizontal="center" wrapText="1"/>
    </xf>
    <xf numFmtId="0" fontId="8" fillId="0" borderId="10" xfId="5" applyFont="1" applyBorder="1" applyAlignment="1">
      <alignment horizontal="center" wrapText="1"/>
    </xf>
    <xf numFmtId="0" fontId="19" fillId="0" borderId="11" xfId="5" applyFont="1" applyBorder="1" applyAlignment="1">
      <alignment horizontal="center" wrapText="1"/>
    </xf>
    <xf numFmtId="43" fontId="8" fillId="8" borderId="11" xfId="5" applyNumberFormat="1" applyFont="1" applyFill="1" applyBorder="1" applyAlignment="1">
      <alignment horizontal="right"/>
    </xf>
    <xf numFmtId="44" fontId="8" fillId="8" borderId="11" xfId="5" applyNumberFormat="1" applyFont="1" applyFill="1" applyBorder="1" applyAlignment="1">
      <alignment horizontal="center"/>
    </xf>
    <xf numFmtId="40" fontId="8" fillId="0" borderId="11" xfId="5" applyNumberFormat="1" applyFont="1" applyBorder="1" applyAlignment="1">
      <alignment horizontal="center"/>
    </xf>
    <xf numFmtId="0" fontId="8" fillId="0" borderId="11" xfId="5" applyFont="1" applyBorder="1" applyAlignment="1">
      <alignment horizontal="center" wrapText="1"/>
    </xf>
    <xf numFmtId="170" fontId="8" fillId="0" borderId="11" xfId="5" applyNumberFormat="1" applyFont="1" applyBorder="1" applyAlignment="1">
      <alignment horizontal="center" wrapText="1"/>
    </xf>
    <xf numFmtId="40" fontId="8" fillId="0" borderId="11" xfId="5" applyNumberFormat="1" applyFont="1" applyBorder="1" applyAlignment="1">
      <alignment horizontal="center" wrapText="1"/>
    </xf>
    <xf numFmtId="167" fontId="19" fillId="0" borderId="11" xfId="5" applyNumberFormat="1" applyFont="1" applyBorder="1" applyAlignment="1">
      <alignment horizontal="center" wrapText="1"/>
    </xf>
    <xf numFmtId="167" fontId="31" fillId="0" borderId="12" xfId="5" applyNumberFormat="1" applyFont="1" applyBorder="1" applyAlignment="1">
      <alignment horizontal="center"/>
    </xf>
    <xf numFmtId="168" fontId="8" fillId="0" borderId="1" xfId="5" applyNumberFormat="1" applyFont="1" applyBorder="1" applyAlignment="1">
      <alignment horizontal="center" wrapText="1"/>
    </xf>
    <xf numFmtId="0" fontId="8" fillId="0" borderId="1" xfId="5" applyFont="1" applyBorder="1" applyAlignment="1">
      <alignment horizontal="center" wrapText="1"/>
    </xf>
    <xf numFmtId="0" fontId="19" fillId="0" borderId="1" xfId="5" applyFont="1" applyBorder="1" applyAlignment="1">
      <alignment horizontal="center" wrapText="1"/>
    </xf>
    <xf numFmtId="40" fontId="8" fillId="0" borderId="1" xfId="7" applyNumberFormat="1" applyFont="1" applyBorder="1"/>
    <xf numFmtId="40" fontId="8" fillId="0" borderId="1" xfId="5" applyNumberFormat="1" applyFont="1" applyBorder="1" applyAlignment="1">
      <alignment horizontal="center" wrapText="1"/>
    </xf>
    <xf numFmtId="167" fontId="2" fillId="0" borderId="1" xfId="5" applyNumberFormat="1" applyFont="1" applyBorder="1" applyAlignment="1">
      <alignment horizontal="center" wrapText="1"/>
    </xf>
    <xf numFmtId="40" fontId="8" fillId="8" borderId="11" xfId="5" applyNumberFormat="1" applyFont="1" applyFill="1" applyBorder="1"/>
    <xf numFmtId="40" fontId="8" fillId="0" borderId="11" xfId="5" applyNumberFormat="1" applyFont="1" applyBorder="1"/>
    <xf numFmtId="167" fontId="2" fillId="0" borderId="13" xfId="5" applyNumberFormat="1" applyFont="1" applyBorder="1" applyAlignment="1">
      <alignment horizontal="center" wrapText="1"/>
    </xf>
    <xf numFmtId="168" fontId="8" fillId="0" borderId="14" xfId="5" applyNumberFormat="1" applyFont="1" applyBorder="1" applyAlignment="1">
      <alignment horizontal="center" wrapText="1"/>
    </xf>
    <xf numFmtId="0" fontId="8" fillId="0" borderId="14" xfId="5" applyFont="1" applyBorder="1" applyAlignment="1">
      <alignment horizontal="center" wrapText="1"/>
    </xf>
    <xf numFmtId="0" fontId="8" fillId="0" borderId="15" xfId="5" applyFont="1" applyBorder="1" applyAlignment="1">
      <alignment horizontal="center" wrapText="1"/>
    </xf>
    <xf numFmtId="43" fontId="2" fillId="10" borderId="15" xfId="5" applyNumberFormat="1" applyFont="1" applyFill="1" applyBorder="1" applyAlignment="1">
      <alignment horizontal="center"/>
    </xf>
    <xf numFmtId="44" fontId="2" fillId="8" borderId="15" xfId="5" applyNumberFormat="1" applyFont="1" applyFill="1" applyBorder="1" applyAlignment="1">
      <alignment horizontal="center"/>
    </xf>
    <xf numFmtId="40" fontId="2" fillId="10" borderId="15" xfId="5" applyNumberFormat="1" applyFont="1" applyFill="1" applyBorder="1" applyAlignment="1">
      <alignment horizontal="right"/>
    </xf>
    <xf numFmtId="167" fontId="2" fillId="0" borderId="15" xfId="5" applyNumberFormat="1" applyFont="1" applyBorder="1" applyAlignment="1">
      <alignment horizontal="center"/>
    </xf>
    <xf numFmtId="170" fontId="8" fillId="0" borderId="15" xfId="5" applyNumberFormat="1" applyFont="1" applyBorder="1" applyAlignment="1">
      <alignment horizontal="center" wrapText="1"/>
    </xf>
    <xf numFmtId="40" fontId="2" fillId="10" borderId="15" xfId="5" applyNumberFormat="1" applyFont="1" applyFill="1" applyBorder="1" applyAlignment="1">
      <alignment horizontal="center" wrapText="1"/>
    </xf>
    <xf numFmtId="167" fontId="8" fillId="0" borderId="15" xfId="5" applyNumberFormat="1" applyFont="1" applyBorder="1" applyAlignment="1">
      <alignment horizontal="center" wrapText="1"/>
    </xf>
    <xf numFmtId="1" fontId="31" fillId="0" borderId="16" xfId="5" applyNumberFormat="1" applyFont="1" applyBorder="1" applyAlignment="1">
      <alignment horizontal="center" wrapText="1"/>
    </xf>
    <xf numFmtId="167" fontId="8" fillId="0" borderId="0" xfId="5" applyNumberFormat="1" applyFont="1" applyAlignment="1">
      <alignment horizontal="center" wrapText="1"/>
    </xf>
    <xf numFmtId="168" fontId="8" fillId="0" borderId="0" xfId="5" applyNumberFormat="1" applyFont="1" applyAlignment="1">
      <alignment horizontal="center" wrapText="1"/>
    </xf>
    <xf numFmtId="0" fontId="8" fillId="0" borderId="0" xfId="5" applyFont="1" applyAlignment="1">
      <alignment horizontal="center" wrapText="1"/>
    </xf>
    <xf numFmtId="0" fontId="2" fillId="0" borderId="0" xfId="5" applyFont="1" applyAlignment="1">
      <alignment horizontal="center" wrapText="1"/>
    </xf>
    <xf numFmtId="43" fontId="2" fillId="0" borderId="0" xfId="5" applyNumberFormat="1" applyFont="1" applyAlignment="1">
      <alignment horizontal="center"/>
    </xf>
    <xf numFmtId="44" fontId="2" fillId="0" borderId="0" xfId="5" applyNumberFormat="1" applyFont="1" applyAlignment="1">
      <alignment horizontal="center"/>
    </xf>
    <xf numFmtId="44" fontId="8" fillId="0" borderId="0" xfId="6" applyFont="1" applyBorder="1" applyAlignment="1">
      <alignment horizontal="center"/>
    </xf>
    <xf numFmtId="170" fontId="8" fillId="0" borderId="0" xfId="5" applyNumberFormat="1" applyFont="1" applyAlignment="1">
      <alignment horizontal="center"/>
    </xf>
    <xf numFmtId="40" fontId="8" fillId="0" borderId="0" xfId="5" applyNumberFormat="1" applyFont="1" applyAlignment="1">
      <alignment horizontal="center"/>
    </xf>
    <xf numFmtId="1" fontId="8" fillId="0" borderId="0" xfId="8" applyNumberFormat="1" applyFont="1" applyBorder="1" applyAlignment="1">
      <alignment horizontal="center"/>
    </xf>
    <xf numFmtId="167" fontId="2" fillId="0" borderId="0" xfId="5" applyNumberFormat="1" applyFont="1" applyAlignment="1">
      <alignment horizontal="center"/>
    </xf>
    <xf numFmtId="167" fontId="16" fillId="13" borderId="3" xfId="5" applyNumberFormat="1" applyFont="1" applyFill="1" applyBorder="1" applyAlignment="1">
      <alignment horizontal="center" wrapText="1"/>
    </xf>
    <xf numFmtId="168" fontId="16" fillId="13" borderId="4" xfId="5" applyNumberFormat="1" applyFont="1" applyFill="1" applyBorder="1" applyAlignment="1">
      <alignment horizontal="center" wrapText="1"/>
    </xf>
    <xf numFmtId="0" fontId="16" fillId="13" borderId="4" xfId="5" applyFont="1" applyFill="1" applyBorder="1" applyAlignment="1">
      <alignment horizontal="center" wrapText="1"/>
    </xf>
    <xf numFmtId="44" fontId="8" fillId="0" borderId="0" xfId="6" applyFont="1" applyAlignment="1">
      <alignment horizontal="center"/>
    </xf>
    <xf numFmtId="170" fontId="2" fillId="8" borderId="1" xfId="5" applyNumberFormat="1" applyFont="1" applyFill="1" applyBorder="1" applyAlignment="1">
      <alignment horizontal="center" wrapText="1"/>
    </xf>
    <xf numFmtId="1" fontId="2" fillId="8" borderId="9" xfId="5" applyNumberFormat="1" applyFont="1" applyFill="1" applyBorder="1" applyAlignment="1">
      <alignment horizontal="center" wrapText="1"/>
    </xf>
    <xf numFmtId="0" fontId="8" fillId="0" borderId="8" xfId="5" applyFont="1" applyBorder="1" applyAlignment="1">
      <alignment horizontal="center" wrapText="1"/>
    </xf>
    <xf numFmtId="167" fontId="8" fillId="0" borderId="1" xfId="5" applyNumberFormat="1" applyFont="1" applyBorder="1" applyAlignment="1">
      <alignment horizontal="center" wrapText="1"/>
    </xf>
    <xf numFmtId="43" fontId="8" fillId="8" borderId="1" xfId="6" applyNumberFormat="1" applyFont="1" applyFill="1" applyBorder="1" applyAlignment="1">
      <alignment wrapText="1"/>
    </xf>
    <xf numFmtId="44" fontId="8" fillId="8" borderId="1" xfId="6" applyFont="1" applyFill="1" applyBorder="1" applyAlignment="1">
      <alignment wrapText="1"/>
    </xf>
    <xf numFmtId="40" fontId="8" fillId="0" borderId="1" xfId="6" applyNumberFormat="1" applyFont="1" applyFill="1" applyBorder="1" applyAlignment="1">
      <alignment wrapText="1"/>
    </xf>
    <xf numFmtId="1" fontId="8" fillId="0" borderId="1" xfId="5" quotePrefix="1" applyNumberFormat="1" applyFont="1" applyBorder="1" applyAlignment="1">
      <alignment horizontal="center" wrapText="1"/>
    </xf>
    <xf numFmtId="170" fontId="8" fillId="0" borderId="1" xfId="5" applyNumberFormat="1" applyFont="1" applyBorder="1" applyAlignment="1">
      <alignment horizontal="center" wrapText="1"/>
    </xf>
    <xf numFmtId="1" fontId="31" fillId="0" borderId="9" xfId="5" applyNumberFormat="1" applyFont="1" applyBorder="1" applyAlignment="1">
      <alignment horizontal="center" wrapText="1"/>
    </xf>
    <xf numFmtId="167" fontId="2" fillId="0" borderId="15" xfId="5" applyNumberFormat="1" applyFont="1" applyBorder="1" applyAlignment="1">
      <alignment horizontal="center" wrapText="1"/>
    </xf>
    <xf numFmtId="43" fontId="2" fillId="10" borderId="15" xfId="6" applyNumberFormat="1" applyFont="1" applyFill="1" applyBorder="1" applyAlignment="1"/>
    <xf numFmtId="44" fontId="2" fillId="8" borderId="15" xfId="6" applyFont="1" applyFill="1" applyBorder="1" applyAlignment="1"/>
    <xf numFmtId="40" fontId="2" fillId="0" borderId="15" xfId="6" applyNumberFormat="1" applyFont="1" applyFill="1" applyBorder="1" applyAlignment="1"/>
    <xf numFmtId="170" fontId="2" fillId="0" borderId="15" xfId="8" applyNumberFormat="1" applyFont="1" applyBorder="1" applyAlignment="1">
      <alignment horizontal="center"/>
    </xf>
    <xf numFmtId="40" fontId="2" fillId="0" borderId="15" xfId="8" applyNumberFormat="1" applyFont="1" applyBorder="1" applyAlignment="1">
      <alignment horizontal="center"/>
    </xf>
    <xf numFmtId="5" fontId="2" fillId="0" borderId="15" xfId="5" applyNumberFormat="1" applyFont="1" applyBorder="1" applyAlignment="1">
      <alignment horizontal="center"/>
    </xf>
    <xf numFmtId="1" fontId="31" fillId="0" borderId="16" xfId="5" applyNumberFormat="1" applyFont="1" applyBorder="1" applyAlignment="1">
      <alignment horizontal="center"/>
    </xf>
    <xf numFmtId="168" fontId="8" fillId="0" borderId="0" xfId="5" applyNumberFormat="1" applyFont="1" applyAlignment="1">
      <alignment horizontal="left" wrapText="1"/>
    </xf>
    <xf numFmtId="0" fontId="8" fillId="0" borderId="0" xfId="5" applyFont="1" applyAlignment="1">
      <alignment horizontal="left" wrapText="1"/>
    </xf>
    <xf numFmtId="0" fontId="2" fillId="0" borderId="0" xfId="5" applyFont="1" applyAlignment="1">
      <alignment horizontal="left" wrapText="1"/>
    </xf>
    <xf numFmtId="43" fontId="2" fillId="0" borderId="0" xfId="5" applyNumberFormat="1" applyFont="1" applyAlignment="1">
      <alignment horizontal="left" wrapText="1"/>
    </xf>
    <xf numFmtId="40" fontId="2" fillId="0" borderId="0" xfId="5" applyNumberFormat="1" applyFont="1" applyAlignment="1">
      <alignment horizontal="left" wrapText="1"/>
    </xf>
    <xf numFmtId="170" fontId="2" fillId="0" borderId="0" xfId="5" applyNumberFormat="1" applyFont="1" applyAlignment="1">
      <alignment horizontal="left" wrapText="1"/>
    </xf>
    <xf numFmtId="0" fontId="31" fillId="0" borderId="0" xfId="5" applyFont="1" applyAlignment="1">
      <alignment horizontal="left" wrapText="1"/>
    </xf>
    <xf numFmtId="0" fontId="4" fillId="13" borderId="5" xfId="5" applyFont="1" applyFill="1" applyBorder="1" applyAlignment="1">
      <alignment horizontal="center" wrapText="1"/>
    </xf>
    <xf numFmtId="170" fontId="4" fillId="13" borderId="5" xfId="5" applyNumberFormat="1" applyFont="1" applyFill="1" applyBorder="1" applyAlignment="1">
      <alignment horizontal="center" wrapText="1"/>
    </xf>
    <xf numFmtId="40" fontId="4" fillId="13" borderId="5" xfId="5" applyNumberFormat="1" applyFont="1" applyFill="1" applyBorder="1" applyAlignment="1">
      <alignment horizontal="center" wrapText="1"/>
    </xf>
    <xf numFmtId="1" fontId="4" fillId="13" borderId="5" xfId="5" applyNumberFormat="1" applyFont="1" applyFill="1" applyBorder="1" applyAlignment="1">
      <alignment horizontal="center"/>
    </xf>
    <xf numFmtId="44" fontId="8" fillId="0" borderId="1" xfId="6" applyFont="1" applyBorder="1" applyAlignment="1">
      <alignment horizontal="center" wrapText="1"/>
    </xf>
    <xf numFmtId="43" fontId="8" fillId="8" borderId="1" xfId="6" applyNumberFormat="1" applyFont="1" applyFill="1" applyBorder="1" applyAlignment="1">
      <alignment horizontal="center"/>
    </xf>
    <xf numFmtId="44" fontId="8" fillId="8" borderId="1" xfId="6" applyFont="1" applyFill="1" applyBorder="1" applyAlignment="1">
      <alignment horizontal="center"/>
    </xf>
    <xf numFmtId="40" fontId="8" fillId="0" borderId="1" xfId="6" applyNumberFormat="1" applyFont="1" applyFill="1" applyBorder="1" applyAlignment="1">
      <alignment horizontal="center"/>
    </xf>
    <xf numFmtId="10" fontId="8" fillId="0" borderId="1" xfId="5" quotePrefix="1" applyNumberFormat="1" applyFont="1" applyBorder="1" applyAlignment="1">
      <alignment horizontal="center"/>
    </xf>
    <xf numFmtId="170" fontId="8" fillId="0" borderId="1" xfId="8" applyNumberFormat="1" applyFont="1" applyFill="1" applyBorder="1" applyAlignment="1">
      <alignment horizontal="center" wrapText="1"/>
    </xf>
    <xf numFmtId="40" fontId="8" fillId="0" borderId="1" xfId="8" applyNumberFormat="1" applyFont="1" applyFill="1" applyBorder="1" applyAlignment="1">
      <alignment horizontal="center" wrapText="1"/>
    </xf>
    <xf numFmtId="0" fontId="31" fillId="0" borderId="9" xfId="5" applyFont="1" applyBorder="1" applyAlignment="1">
      <alignment horizontal="center" wrapText="1"/>
    </xf>
    <xf numFmtId="167" fontId="2" fillId="0" borderId="0" xfId="5" applyNumberFormat="1" applyFont="1" applyAlignment="1">
      <alignment horizontal="center" wrapText="1"/>
    </xf>
    <xf numFmtId="43" fontId="2" fillId="0" borderId="0" xfId="6" applyNumberFormat="1" applyFont="1" applyAlignment="1"/>
    <xf numFmtId="44" fontId="2" fillId="0" borderId="0" xfId="6" applyFont="1" applyAlignment="1"/>
    <xf numFmtId="40" fontId="2" fillId="0" borderId="0" xfId="6" applyNumberFormat="1" applyFont="1" applyFill="1" applyAlignment="1"/>
    <xf numFmtId="170" fontId="2" fillId="0" borderId="0" xfId="8" applyNumberFormat="1" applyFont="1" applyAlignment="1">
      <alignment horizontal="center"/>
    </xf>
    <xf numFmtId="40" fontId="2" fillId="0" borderId="0" xfId="8" applyNumberFormat="1" applyFont="1" applyAlignment="1">
      <alignment horizontal="center"/>
    </xf>
    <xf numFmtId="5" fontId="2" fillId="0" borderId="0" xfId="5" applyNumberFormat="1" applyFont="1" applyAlignment="1">
      <alignment horizontal="center"/>
    </xf>
    <xf numFmtId="1" fontId="31" fillId="0" borderId="0" xfId="5" applyNumberFormat="1" applyFont="1" applyAlignment="1">
      <alignment horizontal="center"/>
    </xf>
    <xf numFmtId="168" fontId="16" fillId="13" borderId="4" xfId="5" applyNumberFormat="1" applyFont="1" applyFill="1" applyBorder="1" applyAlignment="1">
      <alignment horizontal="center"/>
    </xf>
    <xf numFmtId="0" fontId="16" fillId="13" borderId="4" xfId="5" applyFont="1" applyFill="1" applyBorder="1" applyAlignment="1">
      <alignment horizontal="center"/>
    </xf>
    <xf numFmtId="0" fontId="16" fillId="13" borderId="5" xfId="5" applyFont="1" applyFill="1" applyBorder="1"/>
    <xf numFmtId="170" fontId="16" fillId="13" borderId="5" xfId="5" applyNumberFormat="1" applyFont="1" applyFill="1" applyBorder="1"/>
    <xf numFmtId="40" fontId="16" fillId="13" borderId="5" xfId="5" applyNumberFormat="1" applyFont="1" applyFill="1" applyBorder="1"/>
    <xf numFmtId="1" fontId="16" fillId="13" borderId="5" xfId="5" applyNumberFormat="1" applyFont="1" applyFill="1" applyBorder="1"/>
    <xf numFmtId="0" fontId="33" fillId="13" borderId="6" xfId="5" applyFont="1" applyFill="1" applyBorder="1" applyAlignment="1">
      <alignment horizontal="right"/>
    </xf>
    <xf numFmtId="170" fontId="2" fillId="0" borderId="15" xfId="8" applyNumberFormat="1" applyFont="1" applyFill="1" applyBorder="1" applyAlignment="1">
      <alignment horizontal="center"/>
    </xf>
    <xf numFmtId="40" fontId="2" fillId="0" borderId="15" xfId="8" applyNumberFormat="1" applyFont="1" applyFill="1" applyBorder="1" applyAlignment="1">
      <alignment horizontal="center"/>
    </xf>
    <xf numFmtId="168" fontId="8" fillId="0" borderId="0" xfId="5" applyNumberFormat="1" applyFont="1" applyAlignment="1">
      <alignment horizontal="center"/>
    </xf>
    <xf numFmtId="43" fontId="35" fillId="0" borderId="0" xfId="5" applyNumberFormat="1" applyFont="1"/>
    <xf numFmtId="170" fontId="8" fillId="0" borderId="0" xfId="5" applyNumberFormat="1" applyFont="1"/>
    <xf numFmtId="1" fontId="8" fillId="0" borderId="0" xfId="5" applyNumberFormat="1" applyFont="1"/>
    <xf numFmtId="0" fontId="31" fillId="0" borderId="0" xfId="5" applyFont="1" applyAlignment="1">
      <alignment horizontal="center"/>
    </xf>
    <xf numFmtId="43" fontId="8" fillId="0" borderId="0" xfId="5" applyNumberFormat="1" applyFont="1"/>
    <xf numFmtId="44" fontId="2" fillId="0" borderId="0" xfId="6" applyFont="1" applyBorder="1" applyAlignment="1">
      <alignment horizontal="center"/>
    </xf>
    <xf numFmtId="0" fontId="2" fillId="0" borderId="0" xfId="5" applyFont="1" applyAlignment="1">
      <alignment horizontal="left"/>
    </xf>
    <xf numFmtId="168" fontId="16" fillId="13" borderId="5" xfId="5" applyNumberFormat="1" applyFont="1" applyFill="1" applyBorder="1" applyAlignment="1">
      <alignment horizontal="center"/>
    </xf>
    <xf numFmtId="0" fontId="16" fillId="13" borderId="5" xfId="5" applyFont="1" applyFill="1" applyBorder="1" applyAlignment="1">
      <alignment horizontal="center"/>
    </xf>
    <xf numFmtId="0" fontId="8" fillId="8" borderId="1" xfId="5" applyFont="1" applyFill="1" applyBorder="1" applyAlignment="1">
      <alignment horizontal="center" wrapText="1"/>
    </xf>
    <xf numFmtId="10" fontId="2" fillId="0" borderId="1" xfId="5" quotePrefix="1" applyNumberFormat="1" applyFont="1" applyBorder="1" applyAlignment="1">
      <alignment horizontal="center"/>
    </xf>
    <xf numFmtId="167" fontId="2" fillId="0" borderId="7" xfId="5" applyNumberFormat="1" applyFont="1" applyBorder="1" applyAlignment="1">
      <alignment horizontal="center" wrapText="1"/>
    </xf>
    <xf numFmtId="43" fontId="2" fillId="10" borderId="1" xfId="6" applyNumberFormat="1" applyFont="1" applyFill="1" applyBorder="1" applyAlignment="1"/>
    <xf numFmtId="40" fontId="2" fillId="0" borderId="1" xfId="6" applyNumberFormat="1" applyFont="1" applyFill="1" applyBorder="1" applyAlignment="1"/>
    <xf numFmtId="167" fontId="2" fillId="0" borderId="1" xfId="5" applyNumberFormat="1" applyFont="1" applyBorder="1" applyAlignment="1">
      <alignment horizontal="center"/>
    </xf>
    <xf numFmtId="170" fontId="2" fillId="0" borderId="1" xfId="8" applyNumberFormat="1" applyFont="1" applyFill="1" applyBorder="1" applyAlignment="1">
      <alignment horizontal="center"/>
    </xf>
    <xf numFmtId="40" fontId="2" fillId="0" borderId="1" xfId="8" applyNumberFormat="1" applyFont="1" applyFill="1" applyBorder="1" applyAlignment="1">
      <alignment horizontal="center"/>
    </xf>
    <xf numFmtId="5" fontId="2" fillId="0" borderId="1" xfId="5" applyNumberFormat="1" applyFont="1" applyBorder="1" applyAlignment="1">
      <alignment horizontal="center"/>
    </xf>
    <xf numFmtId="1" fontId="31" fillId="0" borderId="9" xfId="5" applyNumberFormat="1" applyFont="1" applyBorder="1" applyAlignment="1">
      <alignment horizontal="center"/>
    </xf>
    <xf numFmtId="44" fontId="8" fillId="0" borderId="1" xfId="6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/>
    </xf>
    <xf numFmtId="44" fontId="8" fillId="0" borderId="1" xfId="6" applyFont="1" applyFill="1" applyBorder="1" applyAlignment="1">
      <alignment horizontal="center"/>
    </xf>
    <xf numFmtId="167" fontId="6" fillId="13" borderId="13" xfId="5" applyNumberFormat="1" applyFont="1" applyFill="1" applyBorder="1" applyAlignment="1">
      <alignment horizontal="center" wrapText="1"/>
    </xf>
    <xf numFmtId="168" fontId="8" fillId="13" borderId="15" xfId="5" applyNumberFormat="1" applyFont="1" applyFill="1" applyBorder="1" applyAlignment="1">
      <alignment horizontal="center"/>
    </xf>
    <xf numFmtId="0" fontId="8" fillId="13" borderId="15" xfId="5" applyFont="1" applyFill="1" applyBorder="1" applyAlignment="1">
      <alignment horizontal="center"/>
    </xf>
    <xf numFmtId="0" fontId="6" fillId="13" borderId="15" xfId="5" applyFont="1" applyFill="1" applyBorder="1" applyAlignment="1">
      <alignment horizontal="left"/>
    </xf>
    <xf numFmtId="43" fontId="6" fillId="13" borderId="15" xfId="5" applyNumberFormat="1" applyFont="1" applyFill="1" applyBorder="1"/>
    <xf numFmtId="0" fontId="6" fillId="13" borderId="15" xfId="5" applyFont="1" applyFill="1" applyBorder="1"/>
    <xf numFmtId="40" fontId="6" fillId="13" borderId="15" xfId="5" applyNumberFormat="1" applyFont="1" applyFill="1" applyBorder="1"/>
    <xf numFmtId="170" fontId="6" fillId="13" borderId="15" xfId="5" applyNumberFormat="1" applyFont="1" applyFill="1" applyBorder="1"/>
    <xf numFmtId="1" fontId="6" fillId="13" borderId="15" xfId="5" applyNumberFormat="1" applyFont="1" applyFill="1" applyBorder="1"/>
    <xf numFmtId="0" fontId="31" fillId="13" borderId="16" xfId="5" applyFont="1" applyFill="1" applyBorder="1" applyAlignment="1">
      <alignment horizontal="center"/>
    </xf>
    <xf numFmtId="43" fontId="8" fillId="0" borderId="0" xfId="6" applyNumberFormat="1" applyFont="1" applyAlignment="1"/>
    <xf numFmtId="44" fontId="8" fillId="0" borderId="0" xfId="6" applyFont="1" applyAlignment="1"/>
    <xf numFmtId="40" fontId="8" fillId="0" borderId="0" xfId="6" applyNumberFormat="1" applyFont="1" applyFill="1" applyAlignment="1"/>
    <xf numFmtId="170" fontId="2" fillId="0" borderId="0" xfId="5" applyNumberFormat="1" applyFont="1"/>
    <xf numFmtId="40" fontId="36" fillId="0" borderId="0" xfId="5" applyNumberFormat="1" applyFont="1" applyAlignment="1">
      <alignment horizontal="center"/>
    </xf>
    <xf numFmtId="171" fontId="31" fillId="0" borderId="0" xfId="5" applyNumberFormat="1" applyFont="1"/>
    <xf numFmtId="43" fontId="8" fillId="0" borderId="0" xfId="6" applyNumberFormat="1" applyFont="1" applyBorder="1" applyAlignment="1"/>
    <xf numFmtId="44" fontId="8" fillId="0" borderId="0" xfId="6" applyFont="1" applyBorder="1" applyAlignment="1"/>
    <xf numFmtId="40" fontId="8" fillId="0" borderId="0" xfId="6" applyNumberFormat="1" applyFont="1" applyFill="1" applyBorder="1" applyAlignment="1"/>
    <xf numFmtId="167" fontId="4" fillId="15" borderId="17" xfId="5" applyNumberFormat="1" applyFont="1" applyFill="1" applyBorder="1" applyAlignment="1">
      <alignment horizontal="left"/>
    </xf>
    <xf numFmtId="168" fontId="16" fillId="15" borderId="18" xfId="5" applyNumberFormat="1" applyFont="1" applyFill="1" applyBorder="1" applyAlignment="1">
      <alignment horizontal="left"/>
    </xf>
    <xf numFmtId="0" fontId="16" fillId="15" borderId="18" xfId="5" applyFont="1" applyFill="1" applyBorder="1" applyAlignment="1">
      <alignment horizontal="left"/>
    </xf>
    <xf numFmtId="44" fontId="4" fillId="15" borderId="19" xfId="6" applyFont="1" applyFill="1" applyBorder="1" applyAlignment="1">
      <alignment horizontal="center" wrapText="1"/>
    </xf>
    <xf numFmtId="43" fontId="4" fillId="15" borderId="19" xfId="5" applyNumberFormat="1" applyFont="1" applyFill="1" applyBorder="1" applyAlignment="1">
      <alignment horizontal="center"/>
    </xf>
    <xf numFmtId="0" fontId="4" fillId="15" borderId="20" xfId="5" applyFont="1" applyFill="1" applyBorder="1" applyAlignment="1">
      <alignment horizontal="center"/>
    </xf>
    <xf numFmtId="40" fontId="4" fillId="0" borderId="0" xfId="5" applyNumberFormat="1" applyFont="1" applyAlignment="1">
      <alignment horizontal="center"/>
    </xf>
    <xf numFmtId="167" fontId="2" fillId="7" borderId="21" xfId="5" applyNumberFormat="1" applyFont="1" applyFill="1" applyBorder="1" applyAlignment="1">
      <alignment horizontal="left"/>
    </xf>
    <xf numFmtId="168" fontId="8" fillId="7" borderId="22" xfId="5" applyNumberFormat="1" applyFont="1" applyFill="1" applyBorder="1" applyAlignment="1">
      <alignment horizontal="left"/>
    </xf>
    <xf numFmtId="0" fontId="8" fillId="7" borderId="22" xfId="5" applyFont="1" applyFill="1" applyBorder="1" applyAlignment="1">
      <alignment horizontal="left"/>
    </xf>
    <xf numFmtId="44" fontId="2" fillId="7" borderId="23" xfId="6" applyFont="1" applyFill="1" applyBorder="1" applyAlignment="1">
      <alignment horizontal="center" wrapText="1"/>
    </xf>
    <xf numFmtId="43" fontId="2" fillId="7" borderId="23" xfId="5" applyNumberFormat="1" applyFont="1" applyFill="1" applyBorder="1" applyAlignment="1">
      <alignment horizontal="center"/>
    </xf>
    <xf numFmtId="0" fontId="2" fillId="7" borderId="24" xfId="5" applyFont="1" applyFill="1" applyBorder="1" applyAlignment="1">
      <alignment horizontal="center"/>
    </xf>
    <xf numFmtId="167" fontId="8" fillId="7" borderId="25" xfId="5" applyNumberFormat="1" applyFont="1" applyFill="1" applyBorder="1" applyAlignment="1">
      <alignment horizontal="left"/>
    </xf>
    <xf numFmtId="168" fontId="8" fillId="7" borderId="8" xfId="5" applyNumberFormat="1" applyFont="1" applyFill="1" applyBorder="1" applyAlignment="1">
      <alignment horizontal="left"/>
    </xf>
    <xf numFmtId="0" fontId="8" fillId="7" borderId="8" xfId="5" applyFont="1" applyFill="1" applyBorder="1" applyAlignment="1">
      <alignment horizontal="left"/>
    </xf>
    <xf numFmtId="44" fontId="8" fillId="7" borderId="1" xfId="6" applyFont="1" applyFill="1" applyBorder="1" applyAlignment="1">
      <alignment horizontal="center" wrapText="1"/>
    </xf>
    <xf numFmtId="43" fontId="2" fillId="7" borderId="1" xfId="5" applyNumberFormat="1" applyFont="1" applyFill="1" applyBorder="1" applyAlignment="1">
      <alignment horizontal="center"/>
    </xf>
    <xf numFmtId="0" fontId="8" fillId="7" borderId="26" xfId="5" applyFont="1" applyFill="1" applyBorder="1" applyAlignment="1">
      <alignment horizontal="center"/>
    </xf>
    <xf numFmtId="43" fontId="8" fillId="7" borderId="1" xfId="5" applyNumberFormat="1" applyFont="1" applyFill="1" applyBorder="1" applyAlignment="1">
      <alignment horizontal="center"/>
    </xf>
    <xf numFmtId="167" fontId="2" fillId="7" borderId="25" xfId="5" applyNumberFormat="1" applyFont="1" applyFill="1" applyBorder="1" applyAlignment="1">
      <alignment horizontal="left"/>
    </xf>
    <xf numFmtId="44" fontId="2" fillId="7" borderId="1" xfId="6" applyFont="1" applyFill="1" applyBorder="1" applyAlignment="1">
      <alignment horizontal="center" wrapText="1"/>
    </xf>
    <xf numFmtId="0" fontId="2" fillId="7" borderId="26" xfId="5" applyFont="1" applyFill="1" applyBorder="1" applyAlignment="1">
      <alignment horizontal="center"/>
    </xf>
    <xf numFmtId="167" fontId="8" fillId="7" borderId="27" xfId="5" applyNumberFormat="1" applyFont="1" applyFill="1" applyBorder="1" applyAlignment="1">
      <alignment horizontal="left" wrapText="1"/>
    </xf>
    <xf numFmtId="168" fontId="8" fillId="7" borderId="28" xfId="5" applyNumberFormat="1" applyFont="1" applyFill="1" applyBorder="1" applyAlignment="1">
      <alignment horizontal="left"/>
    </xf>
    <xf numFmtId="0" fontId="8" fillId="7" borderId="28" xfId="5" applyFont="1" applyFill="1" applyBorder="1" applyAlignment="1">
      <alignment horizontal="left"/>
    </xf>
    <xf numFmtId="44" fontId="8" fillId="7" borderId="29" xfId="6" applyFont="1" applyFill="1" applyBorder="1" applyAlignment="1">
      <alignment horizontal="center" wrapText="1"/>
    </xf>
    <xf numFmtId="43" fontId="2" fillId="7" borderId="29" xfId="5" applyNumberFormat="1" applyFont="1" applyFill="1" applyBorder="1" applyAlignment="1">
      <alignment horizontal="center"/>
    </xf>
    <xf numFmtId="0" fontId="8" fillId="7" borderId="30" xfId="5" applyFont="1" applyFill="1" applyBorder="1" applyAlignment="1">
      <alignment horizontal="center"/>
    </xf>
    <xf numFmtId="0" fontId="24" fillId="0" borderId="0" xfId="5" applyFont="1"/>
    <xf numFmtId="0" fontId="24" fillId="0" borderId="0" xfId="5" applyFont="1" applyAlignment="1">
      <alignment horizontal="center"/>
    </xf>
    <xf numFmtId="43" fontId="30" fillId="0" borderId="0" xfId="6" applyNumberFormat="1" applyFont="1" applyBorder="1" applyAlignment="1"/>
    <xf numFmtId="1" fontId="2" fillId="0" borderId="9" xfId="5" applyNumberFormat="1" applyFont="1" applyBorder="1" applyAlignment="1">
      <alignment horizontal="center" wrapText="1"/>
    </xf>
    <xf numFmtId="0" fontId="2" fillId="7" borderId="21" xfId="5" applyFont="1" applyFill="1" applyBorder="1" applyAlignment="1">
      <alignment horizontal="center"/>
    </xf>
    <xf numFmtId="168" fontId="8" fillId="7" borderId="22" xfId="5" applyNumberFormat="1" applyFont="1" applyFill="1" applyBorder="1" applyAlignment="1">
      <alignment horizontal="center"/>
    </xf>
    <xf numFmtId="0" fontId="8" fillId="7" borderId="22" xfId="5" applyFont="1" applyFill="1" applyBorder="1" applyAlignment="1">
      <alignment horizontal="center"/>
    </xf>
    <xf numFmtId="0" fontId="2" fillId="7" borderId="23" xfId="5" applyFont="1" applyFill="1" applyBorder="1" applyAlignment="1">
      <alignment horizontal="center"/>
    </xf>
    <xf numFmtId="0" fontId="8" fillId="7" borderId="25" xfId="5" applyFont="1" applyFill="1" applyBorder="1" applyAlignment="1">
      <alignment horizontal="left"/>
    </xf>
    <xf numFmtId="0" fontId="2" fillId="7" borderId="1" xfId="5" applyFont="1" applyFill="1" applyBorder="1"/>
    <xf numFmtId="43" fontId="8" fillId="7" borderId="1" xfId="9" applyFont="1" applyFill="1" applyBorder="1" applyAlignment="1"/>
    <xf numFmtId="43" fontId="8" fillId="7" borderId="26" xfId="9" applyFont="1" applyFill="1" applyBorder="1" applyAlignment="1"/>
    <xf numFmtId="0" fontId="8" fillId="7" borderId="31" xfId="5" applyFont="1" applyFill="1" applyBorder="1" applyAlignment="1">
      <alignment horizontal="left"/>
    </xf>
    <xf numFmtId="168" fontId="8" fillId="7" borderId="10" xfId="5" applyNumberFormat="1" applyFont="1" applyFill="1" applyBorder="1" applyAlignment="1">
      <alignment horizontal="left"/>
    </xf>
    <xf numFmtId="0" fontId="8" fillId="7" borderId="10" xfId="5" applyFont="1" applyFill="1" applyBorder="1" applyAlignment="1">
      <alignment horizontal="left"/>
    </xf>
    <xf numFmtId="0" fontId="2" fillId="7" borderId="11" xfId="5" applyFont="1" applyFill="1" applyBorder="1"/>
    <xf numFmtId="43" fontId="8" fillId="7" borderId="32" xfId="9" applyFont="1" applyFill="1" applyBorder="1" applyAlignment="1"/>
    <xf numFmtId="43" fontId="2" fillId="7" borderId="1" xfId="9" applyFont="1" applyFill="1" applyBorder="1" applyAlignment="1"/>
    <xf numFmtId="40" fontId="8" fillId="0" borderId="0" xfId="9" applyNumberFormat="1" applyFont="1" applyFill="1" applyBorder="1" applyAlignment="1"/>
    <xf numFmtId="0" fontId="8" fillId="7" borderId="27" xfId="5" applyFont="1" applyFill="1" applyBorder="1" applyAlignment="1">
      <alignment horizontal="left" wrapText="1"/>
    </xf>
    <xf numFmtId="0" fontId="2" fillId="7" borderId="29" xfId="5" applyFont="1" applyFill="1" applyBorder="1" applyAlignment="1">
      <alignment wrapText="1"/>
    </xf>
    <xf numFmtId="43" fontId="8" fillId="7" borderId="29" xfId="9" applyFont="1" applyFill="1" applyBorder="1" applyAlignment="1"/>
    <xf numFmtId="43" fontId="2" fillId="7" borderId="30" xfId="9" applyFont="1" applyFill="1" applyBorder="1" applyAlignment="1"/>
    <xf numFmtId="43" fontId="30" fillId="0" borderId="0" xfId="6" applyNumberFormat="1" applyFont="1" applyAlignment="1"/>
    <xf numFmtId="40" fontId="2" fillId="0" borderId="0" xfId="9" applyNumberFormat="1" applyFont="1" applyFill="1" applyBorder="1" applyAlignment="1"/>
    <xf numFmtId="0" fontId="2" fillId="0" borderId="0" xfId="5" applyFont="1" applyAlignment="1">
      <alignment wrapText="1"/>
    </xf>
    <xf numFmtId="43" fontId="8" fillId="0" borderId="0" xfId="9" applyFont="1" applyFill="1" applyBorder="1" applyAlignment="1"/>
    <xf numFmtId="43" fontId="2" fillId="0" borderId="0" xfId="9" applyFont="1" applyFill="1" applyBorder="1" applyAlignment="1"/>
    <xf numFmtId="43" fontId="30" fillId="0" borderId="0" xfId="6" applyNumberFormat="1" applyFont="1" applyFill="1" applyBorder="1" applyAlignment="1"/>
    <xf numFmtId="43" fontId="8" fillId="0" borderId="0" xfId="6" applyNumberFormat="1" applyFont="1" applyFill="1" applyBorder="1" applyAlignment="1"/>
    <xf numFmtId="0" fontId="31" fillId="0" borderId="0" xfId="5" applyFont="1"/>
    <xf numFmtId="0" fontId="2" fillId="0" borderId="0" xfId="5" applyFont="1" applyAlignment="1">
      <alignment horizontal="right"/>
    </xf>
    <xf numFmtId="43" fontId="2" fillId="0" borderId="0" xfId="5" applyNumberFormat="1" applyFont="1" applyAlignment="1">
      <alignment horizontal="right"/>
    </xf>
    <xf numFmtId="40" fontId="2" fillId="0" borderId="0" xfId="5" applyNumberFormat="1" applyFont="1" applyAlignment="1">
      <alignment horizontal="right"/>
    </xf>
    <xf numFmtId="168" fontId="8" fillId="0" borderId="0" xfId="5" applyNumberFormat="1" applyFont="1"/>
    <xf numFmtId="0" fontId="19" fillId="0" borderId="0" xfId="1" applyFont="1" applyAlignment="1">
      <alignment horizontal="center"/>
    </xf>
    <xf numFmtId="0" fontId="37" fillId="0" borderId="0" xfId="1" applyFont="1" applyAlignment="1">
      <alignment horizontal="center"/>
    </xf>
    <xf numFmtId="0" fontId="38" fillId="0" borderId="0" xfId="1" applyFont="1" applyAlignment="1">
      <alignment horizontal="center"/>
    </xf>
    <xf numFmtId="10" fontId="8" fillId="0" borderId="0" xfId="1" applyNumberFormat="1" applyFont="1" applyAlignment="1">
      <alignment horizontal="right"/>
    </xf>
    <xf numFmtId="10" fontId="19" fillId="0" borderId="0" xfId="1" applyNumberFormat="1" applyFont="1" applyAlignment="1">
      <alignment horizontal="center"/>
    </xf>
    <xf numFmtId="10" fontId="2" fillId="0" borderId="0" xfId="1" applyNumberFormat="1" applyFont="1" applyAlignment="1">
      <alignment horizontal="right"/>
    </xf>
    <xf numFmtId="0" fontId="19" fillId="0" borderId="0" xfId="5" applyFont="1" applyAlignment="1">
      <alignment horizontal="center"/>
    </xf>
    <xf numFmtId="164" fontId="2" fillId="0" borderId="0" xfId="5" applyNumberFormat="1" applyFont="1"/>
    <xf numFmtId="0" fontId="37" fillId="0" borderId="1" xfId="5" applyFont="1" applyBorder="1" applyAlignment="1">
      <alignment horizontal="center" wrapText="1"/>
    </xf>
    <xf numFmtId="0" fontId="8" fillId="0" borderId="1" xfId="5" applyFont="1" applyBorder="1" applyAlignment="1">
      <alignment wrapText="1"/>
    </xf>
    <xf numFmtId="0" fontId="14" fillId="0" borderId="1" xfId="5" applyFont="1" applyBorder="1" applyAlignment="1">
      <alignment horizontal="center" wrapText="1"/>
    </xf>
    <xf numFmtId="164" fontId="8" fillId="0" borderId="1" xfId="5" applyNumberFormat="1" applyFont="1" applyBorder="1"/>
    <xf numFmtId="164" fontId="2" fillId="0" borderId="1" xfId="5" applyNumberFormat="1" applyFont="1" applyBorder="1"/>
    <xf numFmtId="164" fontId="41" fillId="0" borderId="1" xfId="5" applyNumberFormat="1" applyFont="1" applyBorder="1"/>
    <xf numFmtId="0" fontId="41" fillId="0" borderId="1" xfId="5" applyFont="1" applyBorder="1" applyAlignment="1">
      <alignment wrapText="1"/>
    </xf>
    <xf numFmtId="0" fontId="2" fillId="10" borderId="1" xfId="5" applyFont="1" applyFill="1" applyBorder="1" applyAlignment="1">
      <alignment wrapText="1"/>
    </xf>
    <xf numFmtId="0" fontId="37" fillId="0" borderId="1" xfId="5" applyFont="1" applyBorder="1" applyAlignment="1">
      <alignment horizontal="center"/>
    </xf>
    <xf numFmtId="49" fontId="2" fillId="0" borderId="1" xfId="5" applyNumberFormat="1" applyFont="1" applyBorder="1" applyAlignment="1">
      <alignment wrapText="1"/>
    </xf>
    <xf numFmtId="49" fontId="14" fillId="0" borderId="1" xfId="5" applyNumberFormat="1" applyFont="1" applyBorder="1" applyAlignment="1">
      <alignment horizontal="center" wrapText="1"/>
    </xf>
    <xf numFmtId="164" fontId="2" fillId="0" borderId="1" xfId="5" applyNumberFormat="1" applyFont="1" applyBorder="1" applyAlignment="1">
      <alignment horizontal="center" wrapText="1"/>
    </xf>
    <xf numFmtId="164" fontId="19" fillId="0" borderId="1" xfId="5" applyNumberFormat="1" applyFont="1" applyBorder="1" applyAlignment="1">
      <alignment horizontal="center" wrapText="1"/>
    </xf>
    <xf numFmtId="0" fontId="4" fillId="4" borderId="1" xfId="5" applyFont="1" applyFill="1" applyBorder="1" applyAlignment="1">
      <alignment wrapText="1"/>
    </xf>
    <xf numFmtId="0" fontId="37" fillId="9" borderId="1" xfId="5" applyFont="1" applyFill="1" applyBorder="1" applyAlignment="1">
      <alignment horizontal="center"/>
    </xf>
    <xf numFmtId="0" fontId="2" fillId="9" borderId="1" xfId="5" applyFont="1" applyFill="1" applyBorder="1" applyAlignment="1">
      <alignment wrapText="1"/>
    </xf>
    <xf numFmtId="0" fontId="14" fillId="9" borderId="1" xfId="5" applyFont="1" applyFill="1" applyBorder="1" applyAlignment="1">
      <alignment horizontal="center" wrapText="1"/>
    </xf>
    <xf numFmtId="164" fontId="2" fillId="9" borderId="1" xfId="5" applyNumberFormat="1" applyFont="1" applyFill="1" applyBorder="1"/>
    <xf numFmtId="0" fontId="8" fillId="0" borderId="1" xfId="5" applyFont="1" applyBorder="1"/>
    <xf numFmtId="0" fontId="2" fillId="0" borderId="1" xfId="5" applyFont="1" applyBorder="1" applyAlignment="1">
      <alignment wrapText="1"/>
    </xf>
    <xf numFmtId="0" fontId="37" fillId="6" borderId="1" xfId="5" applyFont="1" applyFill="1" applyBorder="1" applyAlignment="1">
      <alignment horizontal="center" wrapText="1"/>
    </xf>
    <xf numFmtId="0" fontId="2" fillId="6" borderId="1" xfId="5" applyFont="1" applyFill="1" applyBorder="1" applyAlignment="1">
      <alignment wrapText="1"/>
    </xf>
    <xf numFmtId="0" fontId="14" fillId="6" borderId="1" xfId="5" applyFont="1" applyFill="1" applyBorder="1" applyAlignment="1">
      <alignment horizontal="center" wrapText="1"/>
    </xf>
    <xf numFmtId="164" fontId="2" fillId="6" borderId="1" xfId="5" applyNumberFormat="1" applyFont="1" applyFill="1" applyBorder="1"/>
    <xf numFmtId="0" fontId="37" fillId="6" borderId="1" xfId="5" applyFont="1" applyFill="1" applyBorder="1" applyAlignment="1">
      <alignment horizontal="center"/>
    </xf>
    <xf numFmtId="0" fontId="13" fillId="6" borderId="1" xfId="5" applyFont="1" applyFill="1" applyBorder="1" applyAlignment="1">
      <alignment horizontal="center" wrapText="1"/>
    </xf>
    <xf numFmtId="164" fontId="19" fillId="0" borderId="1" xfId="5" applyNumberFormat="1" applyFont="1" applyBorder="1" applyAlignment="1">
      <alignment horizontal="center"/>
    </xf>
    <xf numFmtId="0" fontId="37" fillId="11" borderId="1" xfId="5" applyFont="1" applyFill="1" applyBorder="1" applyAlignment="1">
      <alignment horizontal="center"/>
    </xf>
    <xf numFmtId="0" fontId="2" fillId="11" borderId="1" xfId="5" applyFont="1" applyFill="1" applyBorder="1" applyAlignment="1">
      <alignment wrapText="1"/>
    </xf>
    <xf numFmtId="0" fontId="14" fillId="11" borderId="1" xfId="5" applyFont="1" applyFill="1" applyBorder="1" applyAlignment="1">
      <alignment horizontal="center" wrapText="1"/>
    </xf>
    <xf numFmtId="164" fontId="2" fillId="11" borderId="1" xfId="5" applyNumberFormat="1" applyFont="1" applyFill="1" applyBorder="1"/>
    <xf numFmtId="0" fontId="4" fillId="4" borderId="1" xfId="5" applyFont="1" applyFill="1" applyBorder="1"/>
    <xf numFmtId="0" fontId="37" fillId="0" borderId="0" xfId="5" applyFont="1" applyAlignment="1">
      <alignment horizontal="center"/>
    </xf>
    <xf numFmtId="0" fontId="8" fillId="0" borderId="0" xfId="5" applyFont="1" applyAlignment="1">
      <alignment wrapText="1"/>
    </xf>
    <xf numFmtId="0" fontId="38" fillId="0" borderId="0" xfId="5" applyFont="1" applyAlignment="1">
      <alignment horizontal="center" wrapText="1"/>
    </xf>
    <xf numFmtId="164" fontId="8" fillId="0" borderId="0" xfId="5" applyNumberFormat="1" applyFont="1"/>
    <xf numFmtId="164" fontId="19" fillId="0" borderId="0" xfId="5" applyNumberFormat="1" applyFont="1" applyAlignment="1">
      <alignment horizontal="center"/>
    </xf>
    <xf numFmtId="0" fontId="6" fillId="0" borderId="1" xfId="10" applyFont="1" applyBorder="1" applyAlignment="1">
      <alignment horizontal="center"/>
    </xf>
    <xf numFmtId="0" fontId="8" fillId="0" borderId="1" xfId="10" applyFont="1" applyBorder="1"/>
    <xf numFmtId="10" fontId="14" fillId="0" borderId="1" xfId="10" applyNumberFormat="1" applyFont="1" applyBorder="1" applyAlignment="1">
      <alignment horizontal="right"/>
    </xf>
    <xf numFmtId="164" fontId="2" fillId="0" borderId="1" xfId="10" applyNumberFormat="1" applyFont="1" applyBorder="1" applyAlignment="1">
      <alignment horizontal="right"/>
    </xf>
    <xf numFmtId="164" fontId="8" fillId="0" borderId="1" xfId="10" applyNumberFormat="1" applyFont="1" applyBorder="1" applyAlignment="1">
      <alignment horizontal="right"/>
    </xf>
    <xf numFmtId="169" fontId="6" fillId="0" borderId="1" xfId="10" applyNumberFormat="1" applyFont="1" applyBorder="1" applyAlignment="1">
      <alignment horizontal="right"/>
    </xf>
    <xf numFmtId="40" fontId="8" fillId="0" borderId="1" xfId="10" applyNumberFormat="1" applyFont="1" applyBorder="1"/>
    <xf numFmtId="0" fontId="8" fillId="0" borderId="1" xfId="10" applyFont="1" applyBorder="1" applyAlignment="1">
      <alignment horizontal="left"/>
    </xf>
    <xf numFmtId="40" fontId="8" fillId="0" borderId="1" xfId="10" applyNumberFormat="1" applyFont="1" applyBorder="1" applyAlignment="1">
      <alignment horizontal="right"/>
    </xf>
    <xf numFmtId="0" fontId="2" fillId="0" borderId="1" xfId="10" applyFont="1" applyBorder="1" applyAlignment="1">
      <alignment horizontal="right"/>
    </xf>
    <xf numFmtId="0" fontId="8" fillId="0" borderId="1" xfId="5" applyFont="1" applyBorder="1" applyAlignment="1">
      <alignment horizontal="center"/>
    </xf>
    <xf numFmtId="172" fontId="2" fillId="0" borderId="1" xfId="5" applyNumberFormat="1" applyFont="1" applyBorder="1"/>
    <xf numFmtId="0" fontId="2" fillId="0" borderId="1" xfId="5" applyFont="1" applyBorder="1"/>
    <xf numFmtId="0" fontId="2" fillId="0" borderId="1" xfId="5" applyFont="1" applyBorder="1" applyAlignment="1">
      <alignment horizontal="right"/>
    </xf>
    <xf numFmtId="173" fontId="2" fillId="0" borderId="1" xfId="5" applyNumberFormat="1" applyFont="1" applyBorder="1" applyAlignment="1">
      <alignment horizontal="right"/>
    </xf>
    <xf numFmtId="166" fontId="2" fillId="17" borderId="1" xfId="5" applyNumberFormat="1" applyFont="1" applyFill="1" applyBorder="1" applyAlignment="1">
      <alignment horizontal="center"/>
    </xf>
    <xf numFmtId="166" fontId="2" fillId="17" borderId="1" xfId="5" applyNumberFormat="1" applyFont="1" applyFill="1" applyBorder="1"/>
    <xf numFmtId="167" fontId="2" fillId="17" borderId="1" xfId="5" applyNumberFormat="1" applyFont="1" applyFill="1" applyBorder="1" applyAlignment="1">
      <alignment horizontal="center"/>
    </xf>
    <xf numFmtId="167" fontId="2" fillId="17" borderId="1" xfId="5" applyNumberFormat="1" applyFont="1" applyFill="1" applyBorder="1"/>
    <xf numFmtId="172" fontId="2" fillId="17" borderId="1" xfId="5" applyNumberFormat="1" applyFont="1" applyFill="1" applyBorder="1" applyAlignment="1">
      <alignment horizontal="center"/>
    </xf>
    <xf numFmtId="172" fontId="2" fillId="0" borderId="1" xfId="5" applyNumberFormat="1" applyFont="1" applyBorder="1" applyAlignment="1">
      <alignment horizontal="center"/>
    </xf>
    <xf numFmtId="174" fontId="2" fillId="0" borderId="1" xfId="5" applyNumberFormat="1" applyFont="1" applyBorder="1" applyAlignment="1">
      <alignment horizontal="center"/>
    </xf>
    <xf numFmtId="174" fontId="2" fillId="0" borderId="1" xfId="5" applyNumberFormat="1" applyFont="1" applyBorder="1" applyAlignment="1">
      <alignment horizontal="right"/>
    </xf>
    <xf numFmtId="0" fontId="16" fillId="16" borderId="1" xfId="5" applyFont="1" applyFill="1" applyBorder="1" applyAlignment="1">
      <alignment horizontal="center"/>
    </xf>
    <xf numFmtId="0" fontId="4" fillId="16" borderId="1" xfId="5" applyFont="1" applyFill="1" applyBorder="1"/>
    <xf numFmtId="172" fontId="4" fillId="16" borderId="1" xfId="5" applyNumberFormat="1" applyFont="1" applyFill="1" applyBorder="1"/>
    <xf numFmtId="0" fontId="43" fillId="16" borderId="1" xfId="5" applyFont="1" applyFill="1" applyBorder="1"/>
    <xf numFmtId="172" fontId="43" fillId="16" borderId="1" xfId="5" applyNumberFormat="1" applyFont="1" applyFill="1" applyBorder="1" applyAlignment="1">
      <alignment horizontal="right"/>
    </xf>
    <xf numFmtId="0" fontId="8" fillId="12" borderId="1" xfId="5" applyFont="1" applyFill="1" applyBorder="1"/>
    <xf numFmtId="172" fontId="2" fillId="18" borderId="1" xfId="5" applyNumberFormat="1" applyFont="1" applyFill="1" applyBorder="1" applyAlignment="1">
      <alignment horizontal="center"/>
    </xf>
    <xf numFmtId="172" fontId="2" fillId="12" borderId="1" xfId="5" applyNumberFormat="1" applyFont="1" applyFill="1" applyBorder="1" applyAlignment="1">
      <alignment horizontal="center"/>
    </xf>
    <xf numFmtId="0" fontId="2" fillId="9" borderId="1" xfId="5" applyFont="1" applyFill="1" applyBorder="1"/>
    <xf numFmtId="172" fontId="2" fillId="9" borderId="1" xfId="5" applyNumberFormat="1" applyFont="1" applyFill="1" applyBorder="1" applyAlignment="1">
      <alignment horizontal="center"/>
    </xf>
    <xf numFmtId="0" fontId="26" fillId="0" borderId="1" xfId="5" applyFont="1" applyBorder="1" applyAlignment="1">
      <alignment horizontal="center"/>
    </xf>
    <xf numFmtId="0" fontId="26" fillId="12" borderId="1" xfId="5" applyFont="1" applyFill="1" applyBorder="1"/>
    <xf numFmtId="172" fontId="26" fillId="18" borderId="1" xfId="5" applyNumberFormat="1" applyFont="1" applyFill="1" applyBorder="1" applyAlignment="1">
      <alignment horizontal="center"/>
    </xf>
    <xf numFmtId="172" fontId="26" fillId="12" borderId="1" xfId="5" applyNumberFormat="1" applyFont="1" applyFill="1" applyBorder="1" applyAlignment="1">
      <alignment horizontal="center"/>
    </xf>
    <xf numFmtId="0" fontId="26" fillId="0" borderId="1" xfId="5" applyFont="1" applyBorder="1"/>
    <xf numFmtId="0" fontId="2" fillId="0" borderId="1" xfId="5" applyFont="1" applyBorder="1" applyAlignment="1">
      <alignment horizontal="center"/>
    </xf>
    <xf numFmtId="172" fontId="13" fillId="0" borderId="1" xfId="5" applyNumberFormat="1" applyFont="1" applyBorder="1" applyAlignment="1">
      <alignment horizontal="center"/>
    </xf>
    <xf numFmtId="0" fontId="2" fillId="19" borderId="1" xfId="5" applyFont="1" applyFill="1" applyBorder="1"/>
    <xf numFmtId="172" fontId="2" fillId="19" borderId="1" xfId="5" applyNumberFormat="1" applyFont="1" applyFill="1" applyBorder="1" applyAlignment="1">
      <alignment horizontal="center"/>
    </xf>
    <xf numFmtId="172" fontId="4" fillId="16" borderId="1" xfId="5" applyNumberFormat="1" applyFont="1" applyFill="1" applyBorder="1" applyAlignment="1">
      <alignment horizontal="center"/>
    </xf>
    <xf numFmtId="0" fontId="4" fillId="16" borderId="1" xfId="5" applyFont="1" applyFill="1" applyBorder="1" applyAlignment="1">
      <alignment horizontal="right"/>
    </xf>
    <xf numFmtId="0" fontId="16" fillId="16" borderId="1" xfId="5" applyFont="1" applyFill="1" applyBorder="1"/>
    <xf numFmtId="0" fontId="2" fillId="6" borderId="1" xfId="5" applyFont="1" applyFill="1" applyBorder="1"/>
    <xf numFmtId="172" fontId="2" fillId="6" borderId="1" xfId="5" applyNumberFormat="1" applyFont="1" applyFill="1" applyBorder="1" applyAlignment="1">
      <alignment horizontal="center"/>
    </xf>
    <xf numFmtId="172" fontId="13" fillId="6" borderId="1" xfId="5" applyNumberFormat="1" applyFont="1" applyFill="1" applyBorder="1" applyAlignment="1">
      <alignment horizontal="center"/>
    </xf>
    <xf numFmtId="172" fontId="13" fillId="0" borderId="1" xfId="5" applyNumberFormat="1" applyFont="1" applyBorder="1"/>
    <xf numFmtId="172" fontId="13" fillId="0" borderId="1" xfId="5" applyNumberFormat="1" applyFont="1" applyBorder="1" applyAlignment="1">
      <alignment horizontal="right"/>
    </xf>
    <xf numFmtId="0" fontId="29" fillId="0" borderId="1" xfId="5" applyFont="1" applyBorder="1"/>
    <xf numFmtId="14" fontId="8" fillId="0" borderId="1" xfId="5" applyNumberFormat="1" applyFont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0" fontId="13" fillId="0" borderId="1" xfId="5" applyFont="1" applyBorder="1" applyAlignment="1">
      <alignment horizontal="right"/>
    </xf>
    <xf numFmtId="2" fontId="44" fillId="0" borderId="1" xfId="5" applyNumberFormat="1" applyFont="1" applyBorder="1" applyAlignment="1">
      <alignment horizontal="right"/>
    </xf>
    <xf numFmtId="0" fontId="13" fillId="0" borderId="1" xfId="5" applyFont="1" applyBorder="1"/>
    <xf numFmtId="173" fontId="13" fillId="0" borderId="1" xfId="5" applyNumberFormat="1" applyFont="1" applyBorder="1" applyAlignment="1">
      <alignment horizontal="right"/>
    </xf>
    <xf numFmtId="0" fontId="2" fillId="0" borderId="1" xfId="10" applyFont="1" applyBorder="1" applyAlignment="1">
      <alignment horizontal="center"/>
    </xf>
    <xf numFmtId="0" fontId="2" fillId="0" borderId="1" xfId="10" applyFont="1" applyBorder="1" applyAlignment="1">
      <alignment horizontal="left"/>
    </xf>
    <xf numFmtId="168" fontId="8" fillId="0" borderId="1" xfId="10" applyNumberFormat="1" applyFont="1" applyBorder="1" applyAlignment="1">
      <alignment horizontal="left"/>
    </xf>
    <xf numFmtId="0" fontId="8" fillId="0" borderId="1" xfId="10" applyFont="1" applyBorder="1" applyAlignment="1">
      <alignment horizontal="center"/>
    </xf>
    <xf numFmtId="0" fontId="3" fillId="14" borderId="1" xfId="10" applyFont="1" applyFill="1" applyBorder="1" applyAlignment="1">
      <alignment horizontal="center"/>
    </xf>
    <xf numFmtId="0" fontId="3" fillId="14" borderId="1" xfId="10" applyFont="1" applyFill="1" applyBorder="1"/>
    <xf numFmtId="0" fontId="3" fillId="14" borderId="1" xfId="10" applyFont="1" applyFill="1" applyBorder="1" applyAlignment="1">
      <alignment horizontal="left"/>
    </xf>
    <xf numFmtId="168" fontId="3" fillId="14" borderId="1" xfId="10" applyNumberFormat="1" applyFont="1" applyFill="1" applyBorder="1" applyAlignment="1">
      <alignment horizontal="left"/>
    </xf>
    <xf numFmtId="0" fontId="4" fillId="10" borderId="1" xfId="10" applyFont="1" applyFill="1" applyBorder="1" applyAlignment="1">
      <alignment horizontal="center"/>
    </xf>
    <xf numFmtId="165" fontId="4" fillId="10" borderId="1" xfId="10" applyNumberFormat="1" applyFont="1" applyFill="1" applyBorder="1" applyAlignment="1">
      <alignment horizontal="left"/>
    </xf>
    <xf numFmtId="0" fontId="4" fillId="10" borderId="1" xfId="10" applyFont="1" applyFill="1" applyBorder="1" applyAlignment="1">
      <alignment horizontal="left"/>
    </xf>
    <xf numFmtId="168" fontId="4" fillId="10" borderId="1" xfId="10" applyNumberFormat="1" applyFont="1" applyFill="1" applyBorder="1" applyAlignment="1">
      <alignment horizontal="left"/>
    </xf>
    <xf numFmtId="168" fontId="8" fillId="0" borderId="1" xfId="5" applyNumberFormat="1" applyFont="1" applyBorder="1"/>
    <xf numFmtId="0" fontId="4" fillId="20" borderId="1" xfId="5" applyFont="1" applyFill="1" applyBorder="1" applyAlignment="1">
      <alignment horizontal="center"/>
    </xf>
    <xf numFmtId="0" fontId="4" fillId="20" borderId="1" xfId="5" applyFont="1" applyFill="1" applyBorder="1"/>
    <xf numFmtId="168" fontId="4" fillId="20" borderId="1" xfId="5" applyNumberFormat="1" applyFont="1" applyFill="1" applyBorder="1"/>
    <xf numFmtId="0" fontId="2" fillId="21" borderId="1" xfId="5" applyFont="1" applyFill="1" applyBorder="1" applyAlignment="1">
      <alignment horizontal="center" wrapText="1"/>
    </xf>
    <xf numFmtId="168" fontId="2" fillId="21" borderId="1" xfId="5" applyNumberFormat="1" applyFont="1" applyFill="1" applyBorder="1" applyAlignment="1">
      <alignment horizontal="center"/>
    </xf>
    <xf numFmtId="0" fontId="2" fillId="0" borderId="1" xfId="5" applyFont="1" applyBorder="1" applyAlignment="1">
      <alignment horizontal="center" wrapText="1"/>
    </xf>
    <xf numFmtId="49" fontId="29" fillId="0" borderId="1" xfId="2" applyNumberFormat="1" applyFont="1" applyBorder="1"/>
    <xf numFmtId="49" fontId="29" fillId="0" borderId="1" xfId="0" applyNumberFormat="1" applyFont="1" applyBorder="1" applyAlignment="1">
      <alignment horizontal="center"/>
    </xf>
    <xf numFmtId="49" fontId="29" fillId="0" borderId="1" xfId="0" applyNumberFormat="1" applyFont="1" applyBorder="1"/>
    <xf numFmtId="175" fontId="7" fillId="0" borderId="1" xfId="5" applyNumberFormat="1" applyFont="1" applyBorder="1" applyAlignment="1">
      <alignment horizontal="right"/>
    </xf>
    <xf numFmtId="0" fontId="45" fillId="0" borderId="1" xfId="2" applyFont="1" applyBorder="1" applyAlignment="1">
      <alignment horizontal="center"/>
    </xf>
    <xf numFmtId="0" fontId="45" fillId="0" borderId="1" xfId="2" applyFont="1" applyBorder="1"/>
    <xf numFmtId="175" fontId="46" fillId="0" borderId="1" xfId="5" applyNumberFormat="1" applyFont="1" applyBorder="1" applyAlignment="1">
      <alignment horizontal="right"/>
    </xf>
    <xf numFmtId="49" fontId="29" fillId="0" borderId="1" xfId="2" applyNumberFormat="1" applyFont="1" applyBorder="1" applyAlignment="1">
      <alignment horizontal="center"/>
    </xf>
    <xf numFmtId="0" fontId="47" fillId="0" borderId="1" xfId="2" applyFont="1" applyBorder="1" applyAlignment="1">
      <alignment horizontal="center"/>
    </xf>
    <xf numFmtId="49" fontId="2" fillId="8" borderId="1" xfId="2" applyNumberFormat="1" applyFont="1" applyFill="1" applyBorder="1" applyAlignment="1">
      <alignment horizontal="left"/>
    </xf>
    <xf numFmtId="168" fontId="2" fillId="8" borderId="1" xfId="2" applyNumberFormat="1" applyFont="1" applyFill="1" applyBorder="1" applyAlignment="1">
      <alignment horizontal="left"/>
    </xf>
    <xf numFmtId="0" fontId="2" fillId="8" borderId="1" xfId="5" applyFont="1" applyFill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40" fontId="2" fillId="0" borderId="1" xfId="1" applyNumberFormat="1" applyFont="1" applyBorder="1"/>
    <xf numFmtId="0" fontId="2" fillId="0" borderId="1" xfId="1" applyFont="1" applyBorder="1" applyAlignment="1">
      <alignment wrapText="1"/>
    </xf>
    <xf numFmtId="0" fontId="3" fillId="22" borderId="1" xfId="1" applyFont="1" applyFill="1" applyBorder="1" applyAlignment="1">
      <alignment horizontal="center"/>
    </xf>
    <xf numFmtId="0" fontId="3" fillId="22" borderId="1" xfId="1" applyFont="1" applyFill="1" applyBorder="1"/>
    <xf numFmtId="164" fontId="3" fillId="22" borderId="1" xfId="1" applyNumberFormat="1" applyFont="1" applyFill="1" applyBorder="1" applyAlignment="1">
      <alignment horizontal="center"/>
    </xf>
    <xf numFmtId="40" fontId="3" fillId="22" borderId="1" xfId="1" applyNumberFormat="1" applyFont="1" applyFill="1" applyBorder="1"/>
    <xf numFmtId="0" fontId="3" fillId="22" borderId="1" xfId="1" applyFont="1" applyFill="1" applyBorder="1" applyAlignment="1">
      <alignment wrapText="1"/>
    </xf>
    <xf numFmtId="0" fontId="3" fillId="22" borderId="1" xfId="1" applyFont="1" applyFill="1" applyBorder="1" applyAlignment="1">
      <alignment horizontal="left"/>
    </xf>
    <xf numFmtId="0" fontId="4" fillId="21" borderId="1" xfId="1" applyFont="1" applyFill="1" applyBorder="1" applyAlignment="1">
      <alignment horizontal="center"/>
    </xf>
    <xf numFmtId="165" fontId="4" fillId="21" borderId="1" xfId="1" applyNumberFormat="1" applyFont="1" applyFill="1" applyBorder="1" applyAlignment="1">
      <alignment horizontal="left"/>
    </xf>
    <xf numFmtId="40" fontId="4" fillId="21" borderId="1" xfId="1" applyNumberFormat="1" applyFont="1" applyFill="1" applyBorder="1"/>
    <xf numFmtId="165" fontId="4" fillId="21" borderId="1" xfId="1" applyNumberFormat="1" applyFont="1" applyFill="1" applyBorder="1" applyAlignment="1">
      <alignment horizontal="left" wrapText="1"/>
    </xf>
    <xf numFmtId="0" fontId="4" fillId="21" borderId="1" xfId="1" applyFont="1" applyFill="1" applyBorder="1" applyAlignment="1">
      <alignment horizontal="left"/>
    </xf>
    <xf numFmtId="40" fontId="2" fillId="0" borderId="1" xfId="5" applyNumberFormat="1" applyFont="1" applyBorder="1" applyAlignment="1">
      <alignment horizontal="right"/>
    </xf>
    <xf numFmtId="0" fontId="48" fillId="21" borderId="1" xfId="5" applyFont="1" applyFill="1" applyBorder="1" applyAlignment="1">
      <alignment horizontal="center"/>
    </xf>
    <xf numFmtId="172" fontId="48" fillId="21" borderId="1" xfId="5" applyNumberFormat="1" applyFont="1" applyFill="1" applyBorder="1" applyAlignment="1">
      <alignment horizontal="center"/>
    </xf>
    <xf numFmtId="40" fontId="48" fillId="21" borderId="1" xfId="5" applyNumberFormat="1" applyFont="1" applyFill="1" applyBorder="1" applyAlignment="1">
      <alignment horizontal="center"/>
    </xf>
    <xf numFmtId="0" fontId="48" fillId="21" borderId="1" xfId="5" applyFont="1" applyFill="1" applyBorder="1" applyAlignment="1">
      <alignment horizontal="center" wrapText="1"/>
    </xf>
    <xf numFmtId="0" fontId="48" fillId="2" borderId="1" xfId="5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center" wrapText="1"/>
    </xf>
    <xf numFmtId="40" fontId="2" fillId="2" borderId="1" xfId="5" applyNumberFormat="1" applyFont="1" applyFill="1" applyBorder="1" applyAlignment="1">
      <alignment horizontal="center" wrapText="1"/>
    </xf>
    <xf numFmtId="0" fontId="8" fillId="24" borderId="1" xfId="5" applyFont="1" applyFill="1" applyBorder="1"/>
    <xf numFmtId="40" fontId="8" fillId="0" borderId="1" xfId="5" applyNumberFormat="1" applyFont="1" applyBorder="1" applyAlignment="1">
      <alignment horizontal="right"/>
    </xf>
    <xf numFmtId="0" fontId="8" fillId="10" borderId="1" xfId="5" applyFont="1" applyFill="1" applyBorder="1" applyAlignment="1">
      <alignment horizontal="center"/>
    </xf>
    <xf numFmtId="0" fontId="8" fillId="10" borderId="1" xfId="5" applyFont="1" applyFill="1" applyBorder="1"/>
    <xf numFmtId="0" fontId="2" fillId="10" borderId="1" xfId="5" applyFont="1" applyFill="1" applyBorder="1" applyAlignment="1">
      <alignment horizontal="center"/>
    </xf>
    <xf numFmtId="40" fontId="8" fillId="10" borderId="1" xfId="5" applyNumberFormat="1" applyFont="1" applyFill="1" applyBorder="1" applyAlignment="1">
      <alignment horizontal="right"/>
    </xf>
    <xf numFmtId="0" fontId="8" fillId="10" borderId="1" xfId="5" applyFont="1" applyFill="1" applyBorder="1" applyAlignment="1">
      <alignment wrapText="1"/>
    </xf>
    <xf numFmtId="0" fontId="4" fillId="14" borderId="1" xfId="5" applyFont="1" applyFill="1" applyBorder="1" applyAlignment="1">
      <alignment horizontal="center"/>
    </xf>
    <xf numFmtId="0" fontId="4" fillId="14" borderId="1" xfId="5" applyFont="1" applyFill="1" applyBorder="1"/>
    <xf numFmtId="0" fontId="4" fillId="14" borderId="1" xfId="5" applyFont="1" applyFill="1" applyBorder="1" applyAlignment="1">
      <alignment horizontal="right"/>
    </xf>
    <xf numFmtId="40" fontId="16" fillId="14" borderId="1" xfId="5" applyNumberFormat="1" applyFont="1" applyFill="1" applyBorder="1" applyAlignment="1">
      <alignment horizontal="right"/>
    </xf>
    <xf numFmtId="0" fontId="4" fillId="14" borderId="1" xfId="5" applyFont="1" applyFill="1" applyBorder="1" applyAlignment="1">
      <alignment wrapText="1"/>
    </xf>
    <xf numFmtId="0" fontId="2" fillId="10" borderId="1" xfId="5" applyFont="1" applyFill="1" applyBorder="1"/>
    <xf numFmtId="0" fontId="8" fillId="6" borderId="1" xfId="5" applyFont="1" applyFill="1" applyBorder="1" applyAlignment="1">
      <alignment horizontal="center"/>
    </xf>
    <xf numFmtId="0" fontId="2" fillId="6" borderId="1" xfId="5" applyFont="1" applyFill="1" applyBorder="1" applyAlignment="1">
      <alignment horizontal="right"/>
    </xf>
    <xf numFmtId="0" fontId="2" fillId="6" borderId="1" xfId="5" applyFont="1" applyFill="1" applyBorder="1" applyAlignment="1">
      <alignment horizontal="center"/>
    </xf>
    <xf numFmtId="40" fontId="8" fillId="10" borderId="1" xfId="5" applyNumberFormat="1" applyFont="1" applyFill="1" applyBorder="1" applyAlignment="1">
      <alignment horizontal="center"/>
    </xf>
    <xf numFmtId="0" fontId="2" fillId="10" borderId="1" xfId="5" applyFont="1" applyFill="1" applyBorder="1" applyAlignment="1">
      <alignment horizontal="center" wrapText="1"/>
    </xf>
    <xf numFmtId="0" fontId="8" fillId="10" borderId="1" xfId="5" applyFont="1" applyFill="1" applyBorder="1" applyAlignment="1">
      <alignment horizontal="center" wrapText="1"/>
    </xf>
    <xf numFmtId="40" fontId="2" fillId="10" borderId="1" xfId="5" applyNumberFormat="1" applyFont="1" applyFill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49" fontId="8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wrapText="1"/>
    </xf>
    <xf numFmtId="49" fontId="8" fillId="0" borderId="1" xfId="2" applyNumberFormat="1" applyFont="1" applyBorder="1" applyAlignment="1">
      <alignment wrapText="1"/>
    </xf>
    <xf numFmtId="0" fontId="4" fillId="4" borderId="1" xfId="5" applyFont="1" applyFill="1" applyBorder="1" applyAlignment="1">
      <alignment horizontal="center"/>
    </xf>
    <xf numFmtId="175" fontId="4" fillId="4" borderId="1" xfId="5" applyNumberFormat="1" applyFont="1" applyFill="1" applyBorder="1" applyAlignment="1">
      <alignment horizontal="center"/>
    </xf>
    <xf numFmtId="40" fontId="16" fillId="4" borderId="1" xfId="5" applyNumberFormat="1" applyFont="1" applyFill="1" applyBorder="1" applyAlignment="1">
      <alignment horizontal="right"/>
    </xf>
    <xf numFmtId="0" fontId="26" fillId="0" borderId="1" xfId="2" applyFont="1" applyBorder="1" applyAlignment="1">
      <alignment horizontal="center"/>
    </xf>
    <xf numFmtId="0" fontId="41" fillId="0" borderId="1" xfId="5" applyFont="1" applyBorder="1" applyAlignment="1">
      <alignment horizontal="center"/>
    </xf>
    <xf numFmtId="40" fontId="2" fillId="0" borderId="1" xfId="5" applyNumberFormat="1" applyFont="1" applyBorder="1" applyAlignment="1">
      <alignment horizontal="left"/>
    </xf>
    <xf numFmtId="40" fontId="8" fillId="0" borderId="1" xfId="5" applyNumberFormat="1" applyFont="1" applyBorder="1" applyAlignment="1">
      <alignment horizontal="left"/>
    </xf>
    <xf numFmtId="0" fontId="5" fillId="15" borderId="1" xfId="10" applyFont="1" applyFill="1" applyBorder="1" applyAlignment="1">
      <alignment horizontal="center"/>
    </xf>
    <xf numFmtId="0" fontId="3" fillId="15" borderId="1" xfId="10" applyFont="1" applyFill="1" applyBorder="1"/>
    <xf numFmtId="0" fontId="3" fillId="15" borderId="1" xfId="10" applyFont="1" applyFill="1" applyBorder="1" applyAlignment="1">
      <alignment horizontal="center"/>
    </xf>
    <xf numFmtId="164" fontId="3" fillId="15" borderId="1" xfId="10" applyNumberFormat="1" applyFont="1" applyFill="1" applyBorder="1" applyAlignment="1">
      <alignment horizontal="left"/>
    </xf>
    <xf numFmtId="164" fontId="3" fillId="15" borderId="1" xfId="10" applyNumberFormat="1" applyFont="1" applyFill="1" applyBorder="1" applyAlignment="1">
      <alignment horizontal="center"/>
    </xf>
    <xf numFmtId="169" fontId="3" fillId="15" borderId="1" xfId="10" applyNumberFormat="1" applyFont="1" applyFill="1" applyBorder="1" applyAlignment="1">
      <alignment horizontal="center"/>
    </xf>
    <xf numFmtId="40" fontId="3" fillId="15" borderId="1" xfId="10" applyNumberFormat="1" applyFont="1" applyFill="1" applyBorder="1"/>
    <xf numFmtId="0" fontId="3" fillId="15" borderId="1" xfId="10" applyFont="1" applyFill="1" applyBorder="1" applyAlignment="1">
      <alignment horizontal="left"/>
    </xf>
    <xf numFmtId="40" fontId="3" fillId="15" borderId="1" xfId="10" applyNumberFormat="1" applyFont="1" applyFill="1" applyBorder="1" applyAlignment="1">
      <alignment horizontal="right"/>
    </xf>
    <xf numFmtId="0" fontId="3" fillId="15" borderId="1" xfId="10" applyFont="1" applyFill="1" applyBorder="1" applyAlignment="1">
      <alignment horizontal="right"/>
    </xf>
    <xf numFmtId="0" fontId="24" fillId="15" borderId="1" xfId="10" applyFont="1" applyFill="1" applyBorder="1" applyAlignment="1">
      <alignment horizontal="center"/>
    </xf>
    <xf numFmtId="164" fontId="4" fillId="15" borderId="1" xfId="10" applyNumberFormat="1" applyFont="1" applyFill="1" applyBorder="1" applyAlignment="1">
      <alignment horizontal="left"/>
    </xf>
    <xf numFmtId="0" fontId="4" fillId="15" borderId="1" xfId="10" applyFont="1" applyFill="1" applyBorder="1" applyAlignment="1">
      <alignment horizontal="left"/>
    </xf>
    <xf numFmtId="169" fontId="4" fillId="15" borderId="1" xfId="10" applyNumberFormat="1" applyFont="1" applyFill="1" applyBorder="1" applyAlignment="1">
      <alignment horizontal="center"/>
    </xf>
    <xf numFmtId="0" fontId="4" fillId="15" borderId="1" xfId="10" applyFont="1" applyFill="1" applyBorder="1" applyAlignment="1">
      <alignment horizontal="center"/>
    </xf>
    <xf numFmtId="164" fontId="4" fillId="15" borderId="1" xfId="10" applyNumberFormat="1" applyFont="1" applyFill="1" applyBorder="1" applyAlignment="1">
      <alignment horizontal="center"/>
    </xf>
    <xf numFmtId="40" fontId="4" fillId="15" borderId="1" xfId="10" applyNumberFormat="1" applyFont="1" applyFill="1" applyBorder="1"/>
    <xf numFmtId="40" fontId="4" fillId="15" borderId="1" xfId="10" applyNumberFormat="1" applyFont="1" applyFill="1" applyBorder="1" applyAlignment="1">
      <alignment horizontal="right"/>
    </xf>
    <xf numFmtId="0" fontId="4" fillId="15" borderId="1" xfId="10" applyFont="1" applyFill="1" applyBorder="1" applyAlignment="1">
      <alignment horizontal="right"/>
    </xf>
    <xf numFmtId="0" fontId="2" fillId="5" borderId="1" xfId="1" applyFont="1" applyFill="1" applyBorder="1"/>
    <xf numFmtId="10" fontId="2" fillId="5" borderId="1" xfId="1" applyNumberFormat="1" applyFont="1" applyFill="1" applyBorder="1" applyAlignment="1">
      <alignment horizontal="center"/>
    </xf>
    <xf numFmtId="164" fontId="2" fillId="5" borderId="1" xfId="1" applyNumberFormat="1" applyFont="1" applyFill="1" applyBorder="1"/>
    <xf numFmtId="10" fontId="7" fillId="5" borderId="1" xfId="1" applyNumberFormat="1" applyFont="1" applyFill="1" applyBorder="1"/>
    <xf numFmtId="164" fontId="2" fillId="18" borderId="1" xfId="1" applyNumberFormat="1" applyFont="1" applyFill="1" applyBorder="1"/>
    <xf numFmtId="165" fontId="4" fillId="15" borderId="1" xfId="10" applyNumberFormat="1" applyFont="1" applyFill="1" applyBorder="1" applyAlignment="1">
      <alignment horizontal="left"/>
    </xf>
    <xf numFmtId="0" fontId="4" fillId="25" borderId="7" xfId="1" applyFont="1" applyFill="1" applyBorder="1" applyAlignment="1">
      <alignment horizontal="left"/>
    </xf>
    <xf numFmtId="10" fontId="43" fillId="25" borderId="1" xfId="1" applyNumberFormat="1" applyFont="1" applyFill="1" applyBorder="1" applyAlignment="1">
      <alignment horizontal="center"/>
    </xf>
    <xf numFmtId="164" fontId="4" fillId="25" borderId="1" xfId="1" applyNumberFormat="1" applyFont="1" applyFill="1" applyBorder="1" applyAlignment="1">
      <alignment horizontal="left"/>
    </xf>
    <xf numFmtId="164" fontId="4" fillId="25" borderId="1" xfId="1" applyNumberFormat="1" applyFont="1" applyFill="1" applyBorder="1"/>
    <xf numFmtId="10" fontId="24" fillId="25" borderId="9" xfId="1" applyNumberFormat="1" applyFont="1" applyFill="1" applyBorder="1"/>
    <xf numFmtId="0" fontId="16" fillId="25" borderId="5" xfId="1" applyFont="1" applyFill="1" applyBorder="1" applyAlignment="1">
      <alignment horizontal="center"/>
    </xf>
    <xf numFmtId="164" fontId="16" fillId="25" borderId="5" xfId="1" applyNumberFormat="1" applyFont="1" applyFill="1" applyBorder="1"/>
    <xf numFmtId="164" fontId="4" fillId="25" borderId="5" xfId="1" applyNumberFormat="1" applyFont="1" applyFill="1" applyBorder="1"/>
    <xf numFmtId="10" fontId="18" fillId="25" borderId="6" xfId="1" applyNumberFormat="1" applyFont="1" applyFill="1" applyBorder="1"/>
    <xf numFmtId="0" fontId="16" fillId="25" borderId="13" xfId="1" applyFont="1" applyFill="1" applyBorder="1" applyAlignment="1">
      <alignment horizontal="center"/>
    </xf>
    <xf numFmtId="0" fontId="16" fillId="25" borderId="15" xfId="1" applyFont="1" applyFill="1" applyBorder="1" applyAlignment="1">
      <alignment horizontal="center"/>
    </xf>
    <xf numFmtId="164" fontId="16" fillId="25" borderId="15" xfId="1" applyNumberFormat="1" applyFont="1" applyFill="1" applyBorder="1"/>
    <xf numFmtId="164" fontId="4" fillId="25" borderId="15" xfId="1" applyNumberFormat="1" applyFont="1" applyFill="1" applyBorder="1"/>
    <xf numFmtId="10" fontId="18" fillId="25" borderId="16" xfId="1" applyNumberFormat="1" applyFont="1" applyFill="1" applyBorder="1"/>
    <xf numFmtId="165" fontId="4" fillId="11" borderId="33" xfId="1" applyNumberFormat="1" applyFont="1" applyFill="1" applyBorder="1"/>
    <xf numFmtId="165" fontId="4" fillId="11" borderId="34" xfId="1" applyNumberFormat="1" applyFont="1" applyFill="1" applyBorder="1"/>
    <xf numFmtId="165" fontId="4" fillId="11" borderId="8" xfId="1" applyNumberFormat="1" applyFont="1" applyFill="1" applyBorder="1"/>
    <xf numFmtId="0" fontId="8" fillId="6" borderId="1" xfId="5" applyFont="1" applyFill="1" applyBorder="1"/>
    <xf numFmtId="0" fontId="26" fillId="6" borderId="1" xfId="5" applyFont="1" applyFill="1" applyBorder="1" applyAlignment="1">
      <alignment horizontal="center"/>
    </xf>
    <xf numFmtId="40" fontId="8" fillId="6" borderId="1" xfId="5" applyNumberFormat="1" applyFont="1" applyFill="1" applyBorder="1" applyAlignment="1">
      <alignment horizontal="right"/>
    </xf>
    <xf numFmtId="40" fontId="2" fillId="6" borderId="1" xfId="5" applyNumberFormat="1" applyFont="1" applyFill="1" applyBorder="1" applyAlignment="1">
      <alignment horizontal="right"/>
    </xf>
    <xf numFmtId="0" fontId="8" fillId="6" borderId="1" xfId="5" applyFont="1" applyFill="1" applyBorder="1" applyAlignment="1">
      <alignment wrapText="1"/>
    </xf>
    <xf numFmtId="165" fontId="4" fillId="11" borderId="1" xfId="1" applyNumberFormat="1" applyFont="1" applyFill="1" applyBorder="1" applyAlignment="1">
      <alignment horizontal="left"/>
    </xf>
    <xf numFmtId="0" fontId="22" fillId="6" borderId="1" xfId="4" applyFont="1" applyFill="1" applyBorder="1" applyAlignment="1">
      <alignment horizontal="center"/>
    </xf>
    <xf numFmtId="40" fontId="10" fillId="6" borderId="1" xfId="4" applyNumberFormat="1" applyFont="1" applyFill="1" applyBorder="1"/>
    <xf numFmtId="0" fontId="50" fillId="10" borderId="1" xfId="4" applyFont="1" applyFill="1" applyBorder="1" applyAlignment="1">
      <alignment horizontal="center"/>
    </xf>
    <xf numFmtId="40" fontId="51" fillId="10" borderId="1" xfId="4" applyNumberFormat="1" applyFont="1" applyFill="1" applyBorder="1"/>
    <xf numFmtId="0" fontId="51" fillId="10" borderId="1" xfId="4" applyFont="1" applyFill="1" applyBorder="1"/>
    <xf numFmtId="0" fontId="45" fillId="0" borderId="1" xfId="0" applyFont="1" applyBorder="1"/>
    <xf numFmtId="40" fontId="45" fillId="0" borderId="1" xfId="0" applyNumberFormat="1" applyFont="1" applyBorder="1" applyAlignment="1">
      <alignment horizontal="right"/>
    </xf>
    <xf numFmtId="10" fontId="45" fillId="0" borderId="1" xfId="0" applyNumberFormat="1" applyFont="1" applyBorder="1" applyAlignment="1">
      <alignment horizontal="right"/>
    </xf>
    <xf numFmtId="165" fontId="4" fillId="9" borderId="36" xfId="1" applyNumberFormat="1" applyFont="1" applyFill="1" applyBorder="1" applyAlignment="1">
      <alignment horizontal="center"/>
    </xf>
    <xf numFmtId="0" fontId="37" fillId="0" borderId="11" xfId="5" applyFont="1" applyBorder="1" applyAlignment="1">
      <alignment horizontal="center"/>
    </xf>
    <xf numFmtId="0" fontId="8" fillId="0" borderId="11" xfId="5" applyFont="1" applyBorder="1" applyAlignment="1">
      <alignment wrapText="1"/>
    </xf>
    <xf numFmtId="0" fontId="14" fillId="0" borderId="11" xfId="5" applyFont="1" applyBorder="1" applyAlignment="1">
      <alignment horizontal="center" wrapText="1"/>
    </xf>
    <xf numFmtId="164" fontId="8" fillId="0" borderId="11" xfId="5" applyNumberFormat="1" applyFont="1" applyBorder="1"/>
    <xf numFmtId="164" fontId="19" fillId="0" borderId="11" xfId="5" applyNumberFormat="1" applyFont="1" applyBorder="1" applyAlignment="1">
      <alignment horizontal="center"/>
    </xf>
    <xf numFmtId="0" fontId="37" fillId="23" borderId="1" xfId="5" applyFont="1" applyFill="1" applyBorder="1" applyAlignment="1">
      <alignment horizontal="center"/>
    </xf>
    <xf numFmtId="0" fontId="14" fillId="23" borderId="1" xfId="5" applyFont="1" applyFill="1" applyBorder="1" applyAlignment="1">
      <alignment horizontal="center"/>
    </xf>
    <xf numFmtId="164" fontId="2" fillId="23" borderId="1" xfId="5" applyNumberFormat="1" applyFont="1" applyFill="1" applyBorder="1"/>
    <xf numFmtId="164" fontId="19" fillId="23" borderId="1" xfId="5" applyNumberFormat="1" applyFont="1" applyFill="1" applyBorder="1" applyAlignment="1">
      <alignment horizontal="center"/>
    </xf>
    <xf numFmtId="167" fontId="2" fillId="23" borderId="1" xfId="5" applyNumberFormat="1" applyFont="1" applyFill="1" applyBorder="1" applyAlignment="1">
      <alignment horizontal="center"/>
    </xf>
    <xf numFmtId="0" fontId="4" fillId="23" borderId="1" xfId="5" applyFont="1" applyFill="1" applyBorder="1" applyAlignment="1">
      <alignment wrapText="1"/>
    </xf>
    <xf numFmtId="0" fontId="14" fillId="23" borderId="1" xfId="5" applyFont="1" applyFill="1" applyBorder="1" applyAlignment="1">
      <alignment horizontal="center" wrapText="1"/>
    </xf>
    <xf numFmtId="164" fontId="2" fillId="23" borderId="1" xfId="5" applyNumberFormat="1" applyFont="1" applyFill="1" applyBorder="1" applyAlignment="1">
      <alignment horizontal="right"/>
    </xf>
    <xf numFmtId="0" fontId="37" fillId="20" borderId="1" xfId="5" applyFont="1" applyFill="1" applyBorder="1" applyAlignment="1">
      <alignment horizontal="center"/>
    </xf>
    <xf numFmtId="0" fontId="4" fillId="20" borderId="1" xfId="5" applyFont="1" applyFill="1" applyBorder="1" applyAlignment="1">
      <alignment wrapText="1"/>
    </xf>
    <xf numFmtId="0" fontId="14" fillId="20" borderId="1" xfId="5" applyFont="1" applyFill="1" applyBorder="1" applyAlignment="1">
      <alignment horizontal="center" wrapText="1"/>
    </xf>
    <xf numFmtId="164" fontId="2" fillId="20" borderId="1" xfId="5" applyNumberFormat="1" applyFont="1" applyFill="1" applyBorder="1" applyAlignment="1">
      <alignment horizontal="center" wrapText="1"/>
    </xf>
    <xf numFmtId="0" fontId="21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165" fontId="4" fillId="0" borderId="0" xfId="1" applyNumberFormat="1" applyFont="1" applyAlignment="1">
      <alignment horizontal="left"/>
    </xf>
    <xf numFmtId="165" fontId="17" fillId="0" borderId="0" xfId="1" applyNumberFormat="1" applyFont="1" applyAlignment="1">
      <alignment horizontal="left"/>
    </xf>
    <xf numFmtId="0" fontId="19" fillId="0" borderId="1" xfId="5" applyFont="1" applyBorder="1" applyAlignment="1">
      <alignment horizontal="center"/>
    </xf>
    <xf numFmtId="0" fontId="37" fillId="12" borderId="1" xfId="5" applyFont="1" applyFill="1" applyBorder="1" applyAlignment="1">
      <alignment horizontal="center" wrapText="1"/>
    </xf>
    <xf numFmtId="0" fontId="2" fillId="12" borderId="1" xfId="5" applyFont="1" applyFill="1" applyBorder="1" applyAlignment="1">
      <alignment wrapText="1"/>
    </xf>
    <xf numFmtId="0" fontId="14" fillId="12" borderId="1" xfId="5" applyFont="1" applyFill="1" applyBorder="1" applyAlignment="1">
      <alignment horizontal="center" wrapText="1"/>
    </xf>
    <xf numFmtId="164" fontId="13" fillId="12" borderId="1" xfId="5" applyNumberFormat="1" applyFont="1" applyFill="1" applyBorder="1"/>
    <xf numFmtId="164" fontId="41" fillId="12" borderId="1" xfId="5" applyNumberFormat="1" applyFont="1" applyFill="1" applyBorder="1"/>
    <xf numFmtId="0" fontId="37" fillId="12" borderId="1" xfId="5" applyFont="1" applyFill="1" applyBorder="1" applyAlignment="1">
      <alignment horizontal="center"/>
    </xf>
    <xf numFmtId="164" fontId="2" fillId="12" borderId="1" xfId="5" applyNumberFormat="1" applyFont="1" applyFill="1" applyBorder="1"/>
    <xf numFmtId="0" fontId="4" fillId="8" borderId="29" xfId="5" applyFont="1" applyFill="1" applyBorder="1" applyAlignment="1">
      <alignment wrapText="1"/>
    </xf>
    <xf numFmtId="164" fontId="4" fillId="8" borderId="29" xfId="5" applyNumberFormat="1" applyFont="1" applyFill="1" applyBorder="1"/>
    <xf numFmtId="164" fontId="4" fillId="8" borderId="30" xfId="5" applyNumberFormat="1" applyFont="1" applyFill="1" applyBorder="1"/>
    <xf numFmtId="164" fontId="2" fillId="23" borderId="1" xfId="5" applyNumberFormat="1" applyFont="1" applyFill="1" applyBorder="1" applyAlignment="1">
      <alignment horizontal="center" wrapText="1"/>
    </xf>
    <xf numFmtId="164" fontId="2" fillId="23" borderId="1" xfId="5" applyNumberFormat="1" applyFont="1" applyFill="1" applyBorder="1" applyAlignment="1">
      <alignment horizontal="center"/>
    </xf>
    <xf numFmtId="0" fontId="20" fillId="14" borderId="0" xfId="1" applyFont="1" applyFill="1" applyAlignment="1">
      <alignment horizontal="center"/>
    </xf>
    <xf numFmtId="0" fontId="39" fillId="14" borderId="0" xfId="1" applyFont="1" applyFill="1" applyAlignment="1">
      <alignment horizontal="center"/>
    </xf>
    <xf numFmtId="0" fontId="4" fillId="25" borderId="3" xfId="1" applyFont="1" applyFill="1" applyBorder="1" applyAlignment="1">
      <alignment horizontal="left"/>
    </xf>
    <xf numFmtId="0" fontId="4" fillId="0" borderId="1" xfId="5" applyFont="1" applyBorder="1" applyAlignment="1">
      <alignment horizontal="left"/>
    </xf>
    <xf numFmtId="0" fontId="52" fillId="23" borderId="1" xfId="5" applyFont="1" applyFill="1" applyBorder="1" applyAlignment="1">
      <alignment horizontal="left"/>
    </xf>
    <xf numFmtId="0" fontId="4" fillId="0" borderId="1" xfId="3" applyFont="1" applyBorder="1" applyAlignment="1">
      <alignment horizontal="left"/>
    </xf>
    <xf numFmtId="0" fontId="16" fillId="8" borderId="11" xfId="5" applyFont="1" applyFill="1" applyBorder="1" applyAlignment="1">
      <alignment wrapText="1"/>
    </xf>
    <xf numFmtId="164" fontId="16" fillId="8" borderId="32" xfId="5" applyNumberFormat="1" applyFont="1" applyFill="1" applyBorder="1"/>
    <xf numFmtId="0" fontId="4" fillId="8" borderId="38" xfId="5" applyFont="1" applyFill="1" applyBorder="1" applyAlignment="1">
      <alignment horizontal="center"/>
    </xf>
    <xf numFmtId="0" fontId="4" fillId="8" borderId="39" xfId="5" applyFont="1" applyFill="1" applyBorder="1" applyAlignment="1">
      <alignment horizontal="center"/>
    </xf>
    <xf numFmtId="164" fontId="4" fillId="8" borderId="39" xfId="5" applyNumberFormat="1" applyFont="1" applyFill="1" applyBorder="1" applyAlignment="1">
      <alignment horizontal="center"/>
    </xf>
    <xf numFmtId="0" fontId="4" fillId="8" borderId="31" xfId="5" applyFont="1" applyFill="1" applyBorder="1" applyAlignment="1">
      <alignment horizontal="center"/>
    </xf>
    <xf numFmtId="0" fontId="4" fillId="8" borderId="11" xfId="5" applyFont="1" applyFill="1" applyBorder="1" applyAlignment="1">
      <alignment horizontal="center"/>
    </xf>
    <xf numFmtId="164" fontId="4" fillId="8" borderId="11" xfId="5" applyNumberFormat="1" applyFont="1" applyFill="1" applyBorder="1" applyAlignment="1">
      <alignment horizontal="center"/>
    </xf>
    <xf numFmtId="0" fontId="4" fillId="8" borderId="25" xfId="5" applyFont="1" applyFill="1" applyBorder="1" applyAlignment="1">
      <alignment horizontal="center"/>
    </xf>
    <xf numFmtId="0" fontId="4" fillId="8" borderId="1" xfId="5" applyFont="1" applyFill="1" applyBorder="1" applyAlignment="1">
      <alignment horizontal="center"/>
    </xf>
    <xf numFmtId="164" fontId="4" fillId="8" borderId="1" xfId="5" applyNumberFormat="1" applyFont="1" applyFill="1" applyBorder="1" applyAlignment="1">
      <alignment horizontal="center"/>
    </xf>
    <xf numFmtId="0" fontId="4" fillId="8" borderId="27" xfId="5" applyFont="1" applyFill="1" applyBorder="1" applyAlignment="1">
      <alignment horizontal="center"/>
    </xf>
    <xf numFmtId="0" fontId="4" fillId="8" borderId="29" xfId="5" applyFont="1" applyFill="1" applyBorder="1" applyAlignment="1">
      <alignment horizontal="center"/>
    </xf>
    <xf numFmtId="0" fontId="4" fillId="8" borderId="29" xfId="5" applyFont="1" applyFill="1" applyBorder="1" applyAlignment="1">
      <alignment horizontal="center" wrapText="1"/>
    </xf>
    <xf numFmtId="164" fontId="4" fillId="8" borderId="29" xfId="5" applyNumberFormat="1" applyFont="1" applyFill="1" applyBorder="1" applyAlignment="1">
      <alignment horizontal="center"/>
    </xf>
    <xf numFmtId="0" fontId="16" fillId="8" borderId="1" xfId="5" applyFont="1" applyFill="1" applyBorder="1" applyAlignment="1">
      <alignment wrapText="1"/>
    </xf>
    <xf numFmtId="164" fontId="16" fillId="8" borderId="26" xfId="5" applyNumberFormat="1" applyFont="1" applyFill="1" applyBorder="1"/>
    <xf numFmtId="0" fontId="4" fillId="8" borderId="39" xfId="5" applyFont="1" applyFill="1" applyBorder="1" applyAlignment="1">
      <alignment wrapText="1"/>
    </xf>
    <xf numFmtId="0" fontId="4" fillId="8" borderId="39" xfId="5" applyFont="1" applyFill="1" applyBorder="1" applyAlignment="1">
      <alignment horizontal="center" wrapText="1"/>
    </xf>
    <xf numFmtId="164" fontId="4" fillId="8" borderId="39" xfId="5" applyNumberFormat="1" applyFont="1" applyFill="1" applyBorder="1"/>
    <xf numFmtId="164" fontId="4" fillId="8" borderId="40" xfId="5" applyNumberFormat="1" applyFont="1" applyFill="1" applyBorder="1"/>
    <xf numFmtId="0" fontId="4" fillId="8" borderId="11" xfId="5" applyFont="1" applyFill="1" applyBorder="1" applyAlignment="1">
      <alignment horizontal="center" wrapText="1"/>
    </xf>
    <xf numFmtId="164" fontId="4" fillId="8" borderId="11" xfId="5" applyNumberFormat="1" applyFont="1" applyFill="1" applyBorder="1"/>
    <xf numFmtId="0" fontId="4" fillId="8" borderId="1" xfId="5" applyFont="1" applyFill="1" applyBorder="1" applyAlignment="1">
      <alignment horizontal="center" wrapText="1"/>
    </xf>
    <xf numFmtId="164" fontId="4" fillId="8" borderId="1" xfId="5" applyNumberFormat="1" applyFont="1" applyFill="1" applyBorder="1"/>
    <xf numFmtId="40" fontId="8" fillId="0" borderId="0" xfId="5" applyNumberFormat="1" applyFont="1" applyAlignment="1">
      <alignment horizontal="centerContinuous"/>
    </xf>
    <xf numFmtId="40" fontId="27" fillId="9" borderId="35" xfId="5" applyNumberFormat="1" applyFont="1" applyFill="1" applyBorder="1" applyAlignment="1">
      <alignment horizontal="centerContinuous"/>
    </xf>
    <xf numFmtId="40" fontId="27" fillId="9" borderId="37" xfId="5" applyNumberFormat="1" applyFont="1" applyFill="1" applyBorder="1" applyAlignment="1">
      <alignment horizontal="centerContinuous"/>
    </xf>
    <xf numFmtId="0" fontId="4" fillId="23" borderId="1" xfId="5" applyFont="1" applyFill="1" applyBorder="1"/>
    <xf numFmtId="0" fontId="2" fillId="0" borderId="33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164" fontId="8" fillId="0" borderId="11" xfId="1" applyNumberFormat="1" applyFont="1" applyBorder="1"/>
    <xf numFmtId="164" fontId="2" fillId="0" borderId="11" xfId="1" applyNumberFormat="1" applyFont="1" applyBorder="1"/>
    <xf numFmtId="10" fontId="7" fillId="0" borderId="11" xfId="1" applyNumberFormat="1" applyFont="1" applyBorder="1"/>
    <xf numFmtId="0" fontId="8" fillId="0" borderId="23" xfId="1" applyFont="1" applyBorder="1" applyAlignment="1">
      <alignment horizontal="center"/>
    </xf>
    <xf numFmtId="164" fontId="8" fillId="0" borderId="23" xfId="1" applyNumberFormat="1" applyFont="1" applyBorder="1"/>
    <xf numFmtId="164" fontId="2" fillId="0" borderId="23" xfId="1" applyNumberFormat="1" applyFont="1" applyBorder="1"/>
    <xf numFmtId="10" fontId="7" fillId="0" borderId="23" xfId="1" applyNumberFormat="1" applyFont="1" applyBorder="1"/>
    <xf numFmtId="0" fontId="16" fillId="25" borderId="1" xfId="1" applyFont="1" applyFill="1" applyBorder="1" applyAlignment="1">
      <alignment horizontal="center"/>
    </xf>
    <xf numFmtId="164" fontId="16" fillId="25" borderId="1" xfId="1" applyNumberFormat="1" applyFont="1" applyFill="1" applyBorder="1"/>
    <xf numFmtId="0" fontId="4" fillId="25" borderId="1" xfId="1" applyFont="1" applyFill="1" applyBorder="1" applyAlignment="1">
      <alignment horizontal="center"/>
    </xf>
    <xf numFmtId="10" fontId="18" fillId="25" borderId="9" xfId="1" applyNumberFormat="1" applyFont="1" applyFill="1" applyBorder="1"/>
    <xf numFmtId="0" fontId="16" fillId="25" borderId="7" xfId="1" applyFont="1" applyFill="1" applyBorder="1" applyAlignment="1">
      <alignment horizontal="left"/>
    </xf>
    <xf numFmtId="0" fontId="53" fillId="9" borderId="1" xfId="1" applyFont="1" applyFill="1" applyBorder="1" applyAlignment="1">
      <alignment horizontal="center"/>
    </xf>
    <xf numFmtId="0" fontId="53" fillId="9" borderId="1" xfId="1" applyFont="1" applyFill="1" applyBorder="1" applyAlignment="1">
      <alignment horizontal="left"/>
    </xf>
    <xf numFmtId="0" fontId="53" fillId="9" borderId="1" xfId="1" applyFont="1" applyFill="1" applyBorder="1"/>
    <xf numFmtId="167" fontId="4" fillId="0" borderId="1" xfId="3" applyNumberFormat="1" applyFont="1" applyBorder="1"/>
    <xf numFmtId="0" fontId="4" fillId="0" borderId="1" xfId="3" applyFont="1" applyBorder="1"/>
    <xf numFmtId="0" fontId="21" fillId="10" borderId="1" xfId="2" applyFont="1" applyFill="1" applyBorder="1"/>
    <xf numFmtId="40" fontId="49" fillId="10" borderId="1" xfId="0" applyNumberFormat="1" applyFont="1" applyFill="1" applyBorder="1" applyAlignment="1">
      <alignment horizontal="right"/>
    </xf>
    <xf numFmtId="10" fontId="49" fillId="10" borderId="1" xfId="0" applyNumberFormat="1" applyFont="1" applyFill="1" applyBorder="1" applyAlignment="1">
      <alignment horizontal="right"/>
    </xf>
    <xf numFmtId="0" fontId="22" fillId="10" borderId="1" xfId="4" applyFont="1" applyFill="1" applyBorder="1" applyAlignment="1">
      <alignment horizontal="center"/>
    </xf>
    <xf numFmtId="0" fontId="2" fillId="10" borderId="1" xfId="2" applyFont="1" applyFill="1" applyBorder="1"/>
    <xf numFmtId="40" fontId="45" fillId="10" borderId="1" xfId="0" applyNumberFormat="1" applyFont="1" applyFill="1" applyBorder="1" applyAlignment="1">
      <alignment horizontal="right"/>
    </xf>
    <xf numFmtId="10" fontId="45" fillId="10" borderId="1" xfId="0" applyNumberFormat="1" applyFont="1" applyFill="1" applyBorder="1" applyAlignment="1">
      <alignment horizontal="right"/>
    </xf>
    <xf numFmtId="40" fontId="10" fillId="10" borderId="1" xfId="4" applyNumberFormat="1" applyFont="1" applyFill="1" applyBorder="1"/>
    <xf numFmtId="0" fontId="8" fillId="0" borderId="11" xfId="7" applyFont="1" applyBorder="1" applyAlignment="1">
      <alignment horizontal="center"/>
    </xf>
    <xf numFmtId="170" fontId="8" fillId="0" borderId="11" xfId="7" applyNumberFormat="1" applyFont="1" applyBorder="1" applyAlignment="1">
      <alignment horizontal="center"/>
    </xf>
    <xf numFmtId="40" fontId="8" fillId="0" borderId="11" xfId="7" applyNumberFormat="1" applyFont="1" applyBorder="1" applyAlignment="1">
      <alignment horizontal="center"/>
    </xf>
    <xf numFmtId="167" fontId="2" fillId="0" borderId="11" xfId="5" applyNumberFormat="1" applyFont="1" applyBorder="1" applyAlignment="1">
      <alignment horizontal="center" wrapText="1"/>
    </xf>
    <xf numFmtId="0" fontId="2" fillId="11" borderId="1" xfId="5" applyFont="1" applyFill="1" applyBorder="1"/>
    <xf numFmtId="0" fontId="2" fillId="11" borderId="1" xfId="5" applyFont="1" applyFill="1" applyBorder="1" applyAlignment="1">
      <alignment horizontal="left"/>
    </xf>
    <xf numFmtId="0" fontId="2" fillId="11" borderId="1" xfId="5" applyFont="1" applyFill="1" applyBorder="1" applyAlignment="1">
      <alignment horizontal="right"/>
    </xf>
    <xf numFmtId="43" fontId="8" fillId="27" borderId="1" xfId="9" applyFont="1" applyFill="1" applyBorder="1" applyAlignment="1"/>
    <xf numFmtId="0" fontId="54" fillId="26" borderId="1" xfId="0" applyFont="1" applyFill="1" applyBorder="1" applyAlignment="1">
      <alignment horizontal="left" wrapText="1"/>
    </xf>
    <xf numFmtId="176" fontId="10" fillId="26" borderId="1" xfId="0" applyNumberFormat="1" applyFont="1" applyFill="1" applyBorder="1" applyAlignment="1">
      <alignment wrapText="1"/>
    </xf>
    <xf numFmtId="0" fontId="10" fillId="0" borderId="1" xfId="0" applyFont="1" applyBorder="1" applyAlignment="1">
      <alignment horizontal="left" wrapText="1"/>
    </xf>
    <xf numFmtId="10" fontId="10" fillId="0" borderId="1" xfId="0" applyNumberFormat="1" applyFont="1" applyBorder="1" applyAlignment="1">
      <alignment horizontal="right" wrapText="1"/>
    </xf>
    <xf numFmtId="0" fontId="55" fillId="0" borderId="1" xfId="0" applyFont="1" applyBorder="1" applyAlignment="1">
      <alignment horizontal="left" wrapText="1"/>
    </xf>
    <xf numFmtId="10" fontId="55" fillId="0" borderId="1" xfId="0" applyNumberFormat="1" applyFont="1" applyBorder="1" applyAlignment="1">
      <alignment horizontal="right" wrapText="1"/>
    </xf>
    <xf numFmtId="176" fontId="10" fillId="0" borderId="1" xfId="0" applyNumberFormat="1" applyFont="1" applyBorder="1" applyAlignment="1">
      <alignment wrapText="1"/>
    </xf>
    <xf numFmtId="0" fontId="55" fillId="6" borderId="1" xfId="0" applyFont="1" applyFill="1" applyBorder="1" applyAlignment="1">
      <alignment horizontal="left" wrapText="1"/>
    </xf>
    <xf numFmtId="10" fontId="55" fillId="6" borderId="1" xfId="0" applyNumberFormat="1" applyFont="1" applyFill="1" applyBorder="1" applyAlignment="1">
      <alignment horizontal="right" wrapText="1"/>
    </xf>
    <xf numFmtId="10" fontId="10" fillId="26" borderId="1" xfId="0" applyNumberFormat="1" applyFont="1" applyFill="1" applyBorder="1" applyAlignment="1">
      <alignment horizontal="right" wrapText="1"/>
    </xf>
    <xf numFmtId="177" fontId="10" fillId="0" borderId="1" xfId="0" applyNumberFormat="1" applyFont="1" applyBorder="1" applyAlignment="1">
      <alignment horizontal="right" wrapText="1"/>
    </xf>
    <xf numFmtId="10" fontId="54" fillId="26" borderId="1" xfId="0" applyNumberFormat="1" applyFont="1" applyFill="1" applyBorder="1" applyAlignment="1">
      <alignment horizontal="right" wrapText="1"/>
    </xf>
    <xf numFmtId="40" fontId="10" fillId="26" borderId="1" xfId="0" applyNumberFormat="1" applyFont="1" applyFill="1" applyBorder="1" applyAlignment="1">
      <alignment wrapText="1"/>
    </xf>
    <xf numFmtId="40" fontId="55" fillId="0" borderId="1" xfId="0" applyNumberFormat="1" applyFont="1" applyBorder="1" applyAlignment="1">
      <alignment horizontal="right" wrapText="1"/>
    </xf>
    <xf numFmtId="40" fontId="10" fillId="0" borderId="1" xfId="0" applyNumberFormat="1" applyFont="1" applyBorder="1" applyAlignment="1">
      <alignment wrapText="1"/>
    </xf>
    <xf numFmtId="40" fontId="55" fillId="0" borderId="1" xfId="0" applyNumberFormat="1" applyFont="1" applyBorder="1" applyAlignment="1">
      <alignment wrapText="1"/>
    </xf>
    <xf numFmtId="40" fontId="55" fillId="6" borderId="1" xfId="0" applyNumberFormat="1" applyFont="1" applyFill="1" applyBorder="1" applyAlignment="1">
      <alignment horizontal="right" wrapText="1"/>
    </xf>
    <xf numFmtId="40" fontId="10" fillId="26" borderId="1" xfId="0" applyNumberFormat="1" applyFont="1" applyFill="1" applyBorder="1" applyAlignment="1">
      <alignment horizontal="right" wrapText="1"/>
    </xf>
    <xf numFmtId="40" fontId="54" fillId="26" borderId="1" xfId="0" applyNumberFormat="1" applyFont="1" applyFill="1" applyBorder="1" applyAlignment="1">
      <alignment wrapText="1"/>
    </xf>
    <xf numFmtId="40" fontId="54" fillId="26" borderId="1" xfId="0" applyNumberFormat="1" applyFont="1" applyFill="1" applyBorder="1" applyAlignment="1">
      <alignment horizontal="right" wrapText="1"/>
    </xf>
    <xf numFmtId="0" fontId="10" fillId="10" borderId="1" xfId="0" applyFont="1" applyFill="1" applyBorder="1" applyAlignment="1">
      <alignment horizontal="left" wrapText="1"/>
    </xf>
    <xf numFmtId="40" fontId="10" fillId="10" borderId="1" xfId="0" applyNumberFormat="1" applyFont="1" applyFill="1" applyBorder="1" applyAlignment="1">
      <alignment horizontal="right" wrapText="1"/>
    </xf>
    <xf numFmtId="10" fontId="10" fillId="10" borderId="1" xfId="0" applyNumberFormat="1" applyFont="1" applyFill="1" applyBorder="1" applyAlignment="1">
      <alignment horizontal="right" wrapText="1"/>
    </xf>
    <xf numFmtId="0" fontId="22" fillId="20" borderId="1" xfId="4" applyFont="1" applyFill="1" applyBorder="1" applyAlignment="1">
      <alignment horizontal="center"/>
    </xf>
    <xf numFmtId="0" fontId="10" fillId="20" borderId="1" xfId="0" applyFont="1" applyFill="1" applyBorder="1" applyAlignment="1">
      <alignment horizontal="left" wrapText="1"/>
    </xf>
    <xf numFmtId="40" fontId="10" fillId="20" borderId="1" xfId="0" applyNumberFormat="1" applyFont="1" applyFill="1" applyBorder="1" applyAlignment="1">
      <alignment horizontal="right" wrapText="1"/>
    </xf>
    <xf numFmtId="10" fontId="10" fillId="20" borderId="1" xfId="0" applyNumberFormat="1" applyFont="1" applyFill="1" applyBorder="1" applyAlignment="1">
      <alignment horizontal="right" wrapText="1"/>
    </xf>
    <xf numFmtId="40" fontId="10" fillId="20" borderId="1" xfId="4" applyNumberFormat="1" applyFont="1" applyFill="1" applyBorder="1"/>
    <xf numFmtId="40" fontId="10" fillId="20" borderId="1" xfId="0" applyNumberFormat="1" applyFont="1" applyFill="1" applyBorder="1" applyAlignment="1">
      <alignment wrapText="1"/>
    </xf>
    <xf numFmtId="165" fontId="4" fillId="9" borderId="1" xfId="2" applyNumberFormat="1" applyFont="1" applyFill="1" applyBorder="1" applyAlignment="1">
      <alignment horizontal="center"/>
    </xf>
    <xf numFmtId="165" fontId="4" fillId="10" borderId="0" xfId="1" applyNumberFormat="1" applyFont="1" applyFill="1" applyAlignment="1">
      <alignment horizontal="left"/>
    </xf>
    <xf numFmtId="0" fontId="4" fillId="15" borderId="17" xfId="5" applyFont="1" applyFill="1" applyBorder="1" applyAlignment="1">
      <alignment horizontal="left"/>
    </xf>
    <xf numFmtId="0" fontId="4" fillId="15" borderId="18" xfId="5" applyFont="1" applyFill="1" applyBorder="1" applyAlignment="1">
      <alignment horizontal="left"/>
    </xf>
    <xf numFmtId="0" fontId="4" fillId="15" borderId="19" xfId="5" applyFont="1" applyFill="1" applyBorder="1" applyAlignment="1">
      <alignment horizontal="left"/>
    </xf>
    <xf numFmtId="0" fontId="4" fillId="15" borderId="20" xfId="5" applyFont="1" applyFill="1" applyBorder="1" applyAlignment="1">
      <alignment horizontal="left"/>
    </xf>
  </cellXfs>
  <cellStyles count="11">
    <cellStyle name="Comma 2" xfId="9" xr:uid="{7F6294EA-D5DD-48D2-BD5B-035F1BA77684}"/>
    <cellStyle name="Currency 2" xfId="6" xr:uid="{A8874AEE-97F4-4649-AEB1-D9EB5AA4C976}"/>
    <cellStyle name="Normal" xfId="0" builtinId="0"/>
    <cellStyle name="Normal 2 2" xfId="2" xr:uid="{8328F07A-10A0-467A-A810-8D5E99D5CBF1}"/>
    <cellStyle name="Normal 2 3 2" xfId="3" xr:uid="{067179A4-ABA2-4637-8A2F-DCD6DF6D5182}"/>
    <cellStyle name="Normal 2 5" xfId="7" xr:uid="{85224C02-DB56-4ED3-ACBF-168C31F245BB}"/>
    <cellStyle name="Normal 29" xfId="4" xr:uid="{873D423D-05F7-4323-A377-50AD769DA9E7}"/>
    <cellStyle name="Normal 3" xfId="5" xr:uid="{C9DD19D9-67ED-4B4C-A7B9-05EF9958120B}"/>
    <cellStyle name="Normal 64" xfId="1" xr:uid="{A8FF4570-996A-45D8-9CFC-DD135A187152}"/>
    <cellStyle name="Normal 64 2" xfId="10" xr:uid="{6DA19E88-ED6A-4384-9552-092148DBEBA0}"/>
    <cellStyle name="Percent 2" xfId="8" xr:uid="{1443B19E-BE93-4B0F-A734-40A10BCB3E66}"/>
  </cellStyles>
  <dxfs count="0"/>
  <tableStyles count="0" defaultTableStyle="TableStyleMedium2" defaultPivotStyle="PivotStyleLight16"/>
  <colors>
    <mruColors>
      <color rgb="FFFFFFCC"/>
      <color rgb="FFCCFFCC"/>
      <color rgb="FFFFCCCC"/>
      <color rgb="FFFFFF99"/>
      <color rgb="FFFFCC99"/>
      <color rgb="FFFFCC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about:blank" TargetMode="External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84157</xdr:colOff>
      <xdr:row>3</xdr:row>
      <xdr:rowOff>15567</xdr:rowOff>
    </xdr:from>
    <xdr:ext cx="310002" cy="269182"/>
    <xdr:pic>
      <xdr:nvPicPr>
        <xdr:cNvPr id="2" name="Picture 1" descr="cid:image001.png@01D4022A.2F3DD390">
          <a:extLst>
            <a:ext uri="{FF2B5EF4-FFF2-40B4-BE49-F238E27FC236}">
              <a16:creationId xmlns:a16="http://schemas.microsoft.com/office/drawing/2014/main" id="{410A951A-3B8F-427D-9AE6-CFFD2EB21C83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57" y="396567"/>
          <a:ext cx="310002" cy="26918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654049</xdr:colOff>
      <xdr:row>0</xdr:row>
      <xdr:rowOff>44639</xdr:rowOff>
    </xdr:from>
    <xdr:ext cx="496571" cy="444311"/>
    <xdr:pic>
      <xdr:nvPicPr>
        <xdr:cNvPr id="2" name="Picture 1">
          <a:extLst>
            <a:ext uri="{FF2B5EF4-FFF2-40B4-BE49-F238E27FC236}">
              <a16:creationId xmlns:a16="http://schemas.microsoft.com/office/drawing/2014/main" id="{251F64BB-FAEB-4B1D-B854-B867D673993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129" y="44639"/>
          <a:ext cx="496571" cy="44431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5150</xdr:colOff>
      <xdr:row>3</xdr:row>
      <xdr:rowOff>61288</xdr:rowOff>
    </xdr:from>
    <xdr:to>
      <xdr:col>1</xdr:col>
      <xdr:colOff>409903</xdr:colOff>
      <xdr:row>6</xdr:row>
      <xdr:rowOff>47297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BA8AEB-2835-46C2-AD38-BC673740EAD4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70" y="442288"/>
          <a:ext cx="404753" cy="313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140977</xdr:colOff>
      <xdr:row>0</xdr:row>
      <xdr:rowOff>66244</xdr:rowOff>
    </xdr:from>
    <xdr:to>
      <xdr:col>4</xdr:col>
      <xdr:colOff>214945</xdr:colOff>
      <xdr:row>2</xdr:row>
      <xdr:rowOff>70339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385305-1105-4D85-A8D4-5E75A5B43F3A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7" y="66244"/>
          <a:ext cx="340668" cy="255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67476</xdr:colOff>
      <xdr:row>3</xdr:row>
      <xdr:rowOff>21546</xdr:rowOff>
    </xdr:from>
    <xdr:ext cx="330089" cy="256750"/>
    <xdr:pic>
      <xdr:nvPicPr>
        <xdr:cNvPr id="2" name="Picture 1" descr="cid:image001.png@01D4022A.2F3DD390">
          <a:extLst>
            <a:ext uri="{FF2B5EF4-FFF2-40B4-BE49-F238E27FC236}">
              <a16:creationId xmlns:a16="http://schemas.microsoft.com/office/drawing/2014/main" id="{02360A04-185E-409C-94D6-73CD0959D982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76" y="402546"/>
          <a:ext cx="330089" cy="256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373501</xdr:colOff>
      <xdr:row>1</xdr:row>
      <xdr:rowOff>7247</xdr:rowOff>
    </xdr:from>
    <xdr:ext cx="376776" cy="332722"/>
    <xdr:pic>
      <xdr:nvPicPr>
        <xdr:cNvPr id="2" name="Picture 1" descr="cid:image001.png@01D4022A.2F3DD390">
          <a:extLst>
            <a:ext uri="{FF2B5EF4-FFF2-40B4-BE49-F238E27FC236}">
              <a16:creationId xmlns:a16="http://schemas.microsoft.com/office/drawing/2014/main" id="{FD44B87F-4AE5-46B3-8B09-C62695B2B44D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61" y="106307"/>
          <a:ext cx="376776" cy="33272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68318</xdr:colOff>
      <xdr:row>0</xdr:row>
      <xdr:rowOff>89047</xdr:rowOff>
    </xdr:from>
    <xdr:ext cx="278523" cy="236774"/>
    <xdr:pic>
      <xdr:nvPicPr>
        <xdr:cNvPr id="2" name="Picture 1" descr="cid:image001.png@01D4022A.2F3DD390">
          <a:extLst>
            <a:ext uri="{FF2B5EF4-FFF2-40B4-BE49-F238E27FC236}">
              <a16:creationId xmlns:a16="http://schemas.microsoft.com/office/drawing/2014/main" id="{4E256812-E75A-4B0B-8C3F-89451138AB59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18" y="89047"/>
          <a:ext cx="278523" cy="23677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1AFC-1DF3-431B-B577-9EFE0BE004E2}">
  <sheetPr>
    <tabColor rgb="FF0070C0"/>
  </sheetPr>
  <dimension ref="A1:H109"/>
  <sheetViews>
    <sheetView tabSelected="1" zoomScale="115" zoomScaleNormal="115" zoomScaleSheetLayoutView="115" workbookViewId="0">
      <selection activeCell="G41" sqref="G41"/>
    </sheetView>
  </sheetViews>
  <sheetFormatPr defaultColWidth="13" defaultRowHeight="7.8" x14ac:dyDescent="0.15"/>
  <cols>
    <col min="1" max="1" width="5.5703125" style="29" customWidth="1"/>
    <col min="2" max="2" width="39.42578125" style="32" customWidth="1"/>
    <col min="3" max="3" width="2.85546875" style="52" customWidth="1"/>
    <col min="4" max="4" width="14.7109375" style="4" customWidth="1"/>
    <col min="5" max="5" width="13.7109375" style="4" customWidth="1"/>
    <col min="6" max="6" width="16.28515625" style="33" customWidth="1"/>
    <col min="7" max="7" width="14.140625" style="30" customWidth="1"/>
    <col min="8" max="8" width="4.140625" style="31" customWidth="1"/>
    <col min="9" max="16384" width="13" style="31"/>
  </cols>
  <sheetData>
    <row r="1" spans="1:8" s="7" customFormat="1" x14ac:dyDescent="0.15">
      <c r="A1" s="1"/>
      <c r="B1" s="2" t="s">
        <v>0</v>
      </c>
      <c r="C1" s="3"/>
      <c r="D1" s="4"/>
      <c r="E1" s="4"/>
      <c r="F1" s="4"/>
      <c r="G1" s="5"/>
    </row>
    <row r="2" spans="1:8" s="10" customFormat="1" ht="12" x14ac:dyDescent="0.25">
      <c r="A2" s="8"/>
      <c r="B2" s="9" t="s">
        <v>1</v>
      </c>
      <c r="C2" s="8"/>
      <c r="E2" s="11"/>
      <c r="F2" s="12"/>
      <c r="G2" s="13"/>
    </row>
    <row r="3" spans="1:8" s="18" customFormat="1" ht="10.199999999999999" x14ac:dyDescent="0.2">
      <c r="A3" s="14"/>
      <c r="B3" s="15">
        <v>45413</v>
      </c>
      <c r="C3" s="14"/>
      <c r="D3" s="16"/>
      <c r="E3" s="16"/>
      <c r="F3" s="16"/>
      <c r="G3" s="17"/>
    </row>
    <row r="4" spans="1:8" s="7" customFormat="1" x14ac:dyDescent="0.15">
      <c r="A4" s="1"/>
      <c r="B4" s="2"/>
      <c r="C4" s="1"/>
      <c r="D4" s="4"/>
      <c r="E4" s="4"/>
      <c r="F4" s="4"/>
      <c r="G4" s="5"/>
    </row>
    <row r="5" spans="1:8" s="7" customFormat="1" x14ac:dyDescent="0.15">
      <c r="A5" s="1"/>
      <c r="B5" s="2"/>
      <c r="C5" s="1"/>
      <c r="D5" s="4"/>
      <c r="E5" s="4"/>
      <c r="F5" s="4"/>
      <c r="G5" s="5"/>
    </row>
    <row r="6" spans="1:8" s="7" customFormat="1" x14ac:dyDescent="0.15">
      <c r="A6" s="1"/>
      <c r="B6" s="2"/>
      <c r="C6" s="1"/>
      <c r="D6" s="4"/>
      <c r="E6" s="4"/>
      <c r="F6" s="4"/>
      <c r="G6" s="5"/>
    </row>
    <row r="7" spans="1:8" s="19" customFormat="1" ht="15.6" x14ac:dyDescent="0.15">
      <c r="B7" s="20" t="s">
        <v>2</v>
      </c>
      <c r="C7" s="21"/>
      <c r="D7" s="22" t="s">
        <v>3</v>
      </c>
      <c r="E7" s="22" t="s">
        <v>4</v>
      </c>
      <c r="F7" s="22" t="s">
        <v>5</v>
      </c>
      <c r="G7" s="21" t="s">
        <v>6</v>
      </c>
      <c r="H7" s="7"/>
    </row>
    <row r="8" spans="1:8" s="7" customFormat="1" x14ac:dyDescent="0.15">
      <c r="A8" s="1"/>
      <c r="B8" s="2"/>
      <c r="C8" s="3"/>
      <c r="D8" s="4"/>
      <c r="E8" s="4"/>
      <c r="F8" s="4"/>
      <c r="G8" s="5"/>
    </row>
    <row r="9" spans="1:8" s="7" customFormat="1" x14ac:dyDescent="0.15">
      <c r="A9" s="1"/>
      <c r="B9" s="2"/>
      <c r="C9" s="3"/>
      <c r="D9" s="4"/>
      <c r="E9" s="4"/>
      <c r="F9" s="4"/>
      <c r="G9" s="5"/>
    </row>
    <row r="10" spans="1:8" s="28" customFormat="1" ht="12" x14ac:dyDescent="0.25">
      <c r="A10" s="23"/>
      <c r="B10" s="24" t="s">
        <v>8</v>
      </c>
      <c r="C10" s="25"/>
      <c r="D10" s="26"/>
      <c r="E10" s="26"/>
      <c r="F10" s="26"/>
      <c r="G10" s="27"/>
    </row>
    <row r="11" spans="1:8" s="7" customFormat="1" x14ac:dyDescent="0.15">
      <c r="A11" s="29"/>
      <c r="B11" s="2"/>
      <c r="C11" s="3"/>
      <c r="D11" s="4"/>
      <c r="E11" s="4"/>
      <c r="F11" s="4"/>
      <c r="G11" s="30"/>
    </row>
    <row r="12" spans="1:8" s="7" customFormat="1" x14ac:dyDescent="0.15">
      <c r="A12" s="29"/>
      <c r="B12" s="32" t="s">
        <v>9</v>
      </c>
      <c r="C12" s="3"/>
      <c r="D12" s="33">
        <v>1084966.1499999999</v>
      </c>
      <c r="E12" s="4">
        <v>1357365</v>
      </c>
      <c r="F12" s="33">
        <f>D12-E12</f>
        <v>-272398.85000000009</v>
      </c>
      <c r="G12" s="30">
        <f>D12/E12</f>
        <v>0.79931790638479694</v>
      </c>
    </row>
    <row r="13" spans="1:8" s="7" customFormat="1" x14ac:dyDescent="0.15">
      <c r="A13" s="29"/>
      <c r="B13" s="32" t="s">
        <v>10</v>
      </c>
      <c r="C13" s="3"/>
      <c r="D13" s="33">
        <v>793841.77</v>
      </c>
      <c r="E13" s="4">
        <v>977115</v>
      </c>
      <c r="F13" s="33">
        <f>D13-E13</f>
        <v>-183273.22999999998</v>
      </c>
      <c r="G13" s="30">
        <f>D13/E13</f>
        <v>0.81243432963366646</v>
      </c>
    </row>
    <row r="14" spans="1:8" s="7" customFormat="1" x14ac:dyDescent="0.15">
      <c r="A14" s="29"/>
      <c r="B14" s="34" t="s">
        <v>11</v>
      </c>
      <c r="C14" s="35"/>
      <c r="D14" s="36">
        <f>D12-D13</f>
        <v>291124.37999999989</v>
      </c>
      <c r="E14" s="36">
        <f t="shared" ref="E14:F14" si="0">E12-E13</f>
        <v>380250</v>
      </c>
      <c r="F14" s="36">
        <f t="shared" si="0"/>
        <v>-89125.620000000112</v>
      </c>
      <c r="G14" s="37">
        <f>D14/E14</f>
        <v>0.76561309664694255</v>
      </c>
    </row>
    <row r="15" spans="1:8" s="7" customFormat="1" x14ac:dyDescent="0.15">
      <c r="A15" s="29"/>
      <c r="B15" s="32"/>
      <c r="C15" s="3"/>
      <c r="D15" s="33"/>
      <c r="E15" s="4"/>
      <c r="F15" s="33"/>
      <c r="G15" s="30"/>
    </row>
    <row r="16" spans="1:8" s="7" customFormat="1" x14ac:dyDescent="0.15">
      <c r="A16" s="29"/>
      <c r="B16" s="32" t="s">
        <v>12</v>
      </c>
      <c r="C16" s="3"/>
      <c r="D16" s="33">
        <v>523152.36</v>
      </c>
      <c r="E16" s="4">
        <v>572629</v>
      </c>
      <c r="F16" s="33">
        <f>D16-E16</f>
        <v>-49476.640000000014</v>
      </c>
      <c r="G16" s="30">
        <f>D16/E16</f>
        <v>0.91359739028236431</v>
      </c>
    </row>
    <row r="17" spans="1:8" s="7" customFormat="1" x14ac:dyDescent="0.15">
      <c r="A17" s="29"/>
      <c r="B17" s="34" t="s">
        <v>13</v>
      </c>
      <c r="C17" s="35"/>
      <c r="D17" s="36">
        <f>D14-D16</f>
        <v>-232027.9800000001</v>
      </c>
      <c r="E17" s="36">
        <f t="shared" ref="E17" si="1">E14-E16</f>
        <v>-192379</v>
      </c>
      <c r="F17" s="36">
        <f>D17-E17</f>
        <v>-39648.980000000098</v>
      </c>
      <c r="G17" s="38">
        <f>D17/E17</f>
        <v>1.2060982747597195</v>
      </c>
    </row>
    <row r="18" spans="1:8" s="7" customFormat="1" x14ac:dyDescent="0.15">
      <c r="A18" s="29"/>
      <c r="B18" s="32"/>
      <c r="C18" s="3"/>
      <c r="D18" s="33"/>
      <c r="E18" s="4"/>
      <c r="F18" s="33"/>
      <c r="G18" s="30"/>
    </row>
    <row r="19" spans="1:8" s="7" customFormat="1" x14ac:dyDescent="0.15">
      <c r="A19" s="29"/>
      <c r="B19" s="32"/>
      <c r="C19" s="3"/>
      <c r="D19" s="33"/>
      <c r="E19" s="4"/>
      <c r="F19" s="33"/>
      <c r="G19" s="30"/>
    </row>
    <row r="20" spans="1:8" s="7" customFormat="1" x14ac:dyDescent="0.15">
      <c r="A20" s="29"/>
      <c r="B20" s="39" t="s">
        <v>14</v>
      </c>
      <c r="C20" s="40"/>
      <c r="D20" s="41">
        <v>98939.56</v>
      </c>
      <c r="E20" s="663">
        <v>107135</v>
      </c>
      <c r="F20" s="663">
        <f>D20-E20</f>
        <v>-8195.4400000000023</v>
      </c>
      <c r="G20" s="42">
        <f t="shared" ref="G20" si="2">D20/E20</f>
        <v>0.9235036169319083</v>
      </c>
    </row>
    <row r="21" spans="1:8" s="7" customFormat="1" x14ac:dyDescent="0.15">
      <c r="A21" s="29"/>
      <c r="B21" s="32"/>
      <c r="C21" s="3"/>
      <c r="D21" s="33"/>
      <c r="E21" s="4"/>
      <c r="F21" s="33"/>
      <c r="G21" s="30"/>
      <c r="H21" s="31"/>
    </row>
    <row r="22" spans="1:8" s="7" customFormat="1" x14ac:dyDescent="0.15">
      <c r="A22" s="29"/>
      <c r="B22" s="32" t="s">
        <v>15</v>
      </c>
      <c r="C22" s="3"/>
      <c r="D22" s="43">
        <v>-26779.46</v>
      </c>
      <c r="E22" s="44">
        <v>-55968</v>
      </c>
      <c r="F22" s="43">
        <f t="shared" ref="F22:F23" si="3">D22-E22</f>
        <v>29188.54</v>
      </c>
      <c r="G22" s="45">
        <f t="shared" ref="G22:G32" si="4">D22/E22</f>
        <v>0.4784780588907947</v>
      </c>
      <c r="H22" s="31"/>
    </row>
    <row r="23" spans="1:8" s="7" customFormat="1" x14ac:dyDescent="0.15">
      <c r="A23" s="29"/>
      <c r="B23" s="32" t="s">
        <v>16</v>
      </c>
      <c r="C23" s="3"/>
      <c r="D23" s="43">
        <v>86696.3</v>
      </c>
      <c r="E23" s="44">
        <v>96141</v>
      </c>
      <c r="F23" s="43">
        <f t="shared" si="3"/>
        <v>-9444.6999999999971</v>
      </c>
      <c r="G23" s="45">
        <f t="shared" si="4"/>
        <v>0.90176199540258584</v>
      </c>
      <c r="H23" s="31"/>
    </row>
    <row r="24" spans="1:8" s="7" customFormat="1" x14ac:dyDescent="0.15">
      <c r="A24" s="29"/>
      <c r="B24" s="39" t="s">
        <v>17</v>
      </c>
      <c r="C24" s="40"/>
      <c r="D24" s="46">
        <f>SUM(D22:D23)</f>
        <v>59916.840000000004</v>
      </c>
      <c r="E24" s="46">
        <f t="shared" ref="E24:F24" si="5">SUM(E22:E23)</f>
        <v>40173</v>
      </c>
      <c r="F24" s="46">
        <f t="shared" si="5"/>
        <v>19743.840000000004</v>
      </c>
      <c r="G24" s="47">
        <f t="shared" si="4"/>
        <v>1.4914703905608244</v>
      </c>
    </row>
    <row r="25" spans="1:8" s="7" customFormat="1" x14ac:dyDescent="0.15">
      <c r="A25" s="29"/>
      <c r="B25" s="32"/>
      <c r="C25" s="3"/>
      <c r="D25" s="33"/>
      <c r="E25" s="4"/>
      <c r="F25" s="33"/>
      <c r="G25" s="30"/>
      <c r="H25" s="31"/>
    </row>
    <row r="26" spans="1:8" s="7" customFormat="1" x14ac:dyDescent="0.15">
      <c r="A26" s="29"/>
      <c r="B26" s="32" t="s">
        <v>18</v>
      </c>
      <c r="C26" s="3"/>
      <c r="D26" s="43">
        <v>-23206.32</v>
      </c>
      <c r="E26" s="44">
        <v>-37350</v>
      </c>
      <c r="F26" s="43">
        <f t="shared" ref="F26:F27" si="6">D26-E26</f>
        <v>14143.68</v>
      </c>
      <c r="G26" s="45">
        <f t="shared" si="4"/>
        <v>0.62132048192771083</v>
      </c>
      <c r="H26" s="31"/>
    </row>
    <row r="27" spans="1:8" s="7" customFormat="1" x14ac:dyDescent="0.15">
      <c r="A27" s="29"/>
      <c r="B27" s="32" t="s">
        <v>19</v>
      </c>
      <c r="C27" s="3"/>
      <c r="D27" s="48">
        <v>21348.04</v>
      </c>
      <c r="E27" s="44">
        <v>25350</v>
      </c>
      <c r="F27" s="43">
        <f t="shared" si="6"/>
        <v>-4001.9599999999991</v>
      </c>
      <c r="G27" s="45">
        <f t="shared" si="4"/>
        <v>0.84213175542406316</v>
      </c>
      <c r="H27" s="31"/>
    </row>
    <row r="28" spans="1:8" s="7" customFormat="1" x14ac:dyDescent="0.15">
      <c r="A28" s="29"/>
      <c r="B28" s="39" t="s">
        <v>20</v>
      </c>
      <c r="C28" s="40"/>
      <c r="D28" s="46">
        <f>SUM(D26:D27)</f>
        <v>-1858.2799999999988</v>
      </c>
      <c r="E28" s="46">
        <f t="shared" ref="E28:F28" si="7">SUM(E26:E27)</f>
        <v>-12000</v>
      </c>
      <c r="F28" s="46">
        <f t="shared" si="7"/>
        <v>10141.720000000001</v>
      </c>
      <c r="G28" s="47">
        <f t="shared" si="4"/>
        <v>0.15485666666666656</v>
      </c>
    </row>
    <row r="29" spans="1:8" s="7" customFormat="1" x14ac:dyDescent="0.15">
      <c r="A29" s="29"/>
      <c r="B29" s="32"/>
      <c r="C29" s="3"/>
      <c r="D29" s="33"/>
      <c r="E29" s="4"/>
      <c r="F29" s="33"/>
      <c r="G29" s="30"/>
      <c r="H29" s="31"/>
    </row>
    <row r="30" spans="1:8" s="7" customFormat="1" x14ac:dyDescent="0.15">
      <c r="A30" s="29"/>
      <c r="B30" s="32" t="s">
        <v>21</v>
      </c>
      <c r="C30" s="3"/>
      <c r="D30" s="43">
        <v>-6835.94</v>
      </c>
      <c r="E30" s="44">
        <v>-13730</v>
      </c>
      <c r="F30" s="43">
        <f t="shared" ref="F30:F31" si="8">D30-E30</f>
        <v>6894.06</v>
      </c>
      <c r="G30" s="45">
        <f>D30/E30</f>
        <v>0.49788346686088852</v>
      </c>
      <c r="H30" s="31"/>
    </row>
    <row r="31" spans="1:8" s="7" customFormat="1" x14ac:dyDescent="0.15">
      <c r="A31" s="29"/>
      <c r="B31" s="32" t="s">
        <v>22</v>
      </c>
      <c r="C31" s="3"/>
      <c r="D31" s="43">
        <v>5349.46</v>
      </c>
      <c r="E31" s="44">
        <v>12320</v>
      </c>
      <c r="F31" s="43">
        <f t="shared" si="8"/>
        <v>-6970.54</v>
      </c>
      <c r="G31" s="45">
        <f t="shared" si="4"/>
        <v>0.43420941558441561</v>
      </c>
      <c r="H31" s="31"/>
    </row>
    <row r="32" spans="1:8" s="7" customFormat="1" x14ac:dyDescent="0.15">
      <c r="A32" s="29"/>
      <c r="B32" s="39" t="s">
        <v>23</v>
      </c>
      <c r="C32" s="40"/>
      <c r="D32" s="46">
        <f>SUM(D30:D31)</f>
        <v>-1486.4799999999996</v>
      </c>
      <c r="E32" s="46">
        <f t="shared" ref="E32:F32" si="9">SUM(E30:E31)</f>
        <v>-1410</v>
      </c>
      <c r="F32" s="46">
        <f t="shared" si="9"/>
        <v>-76.479999999999563</v>
      </c>
      <c r="G32" s="47">
        <f t="shared" si="4"/>
        <v>1.0542411347517728</v>
      </c>
    </row>
    <row r="33" spans="1:8" s="7" customFormat="1" x14ac:dyDescent="0.15">
      <c r="A33" s="29"/>
      <c r="B33" s="32"/>
      <c r="C33" s="3"/>
      <c r="D33" s="33"/>
      <c r="E33" s="4"/>
      <c r="F33" s="33"/>
      <c r="G33" s="30"/>
      <c r="H33" s="31"/>
    </row>
    <row r="34" spans="1:8" s="7" customFormat="1" x14ac:dyDescent="0.15">
      <c r="A34" s="29"/>
      <c r="B34" s="32"/>
      <c r="C34" s="3"/>
      <c r="D34" s="33"/>
      <c r="E34" s="4"/>
      <c r="F34" s="33"/>
      <c r="G34" s="30"/>
      <c r="H34" s="31"/>
    </row>
    <row r="35" spans="1:8" s="7" customFormat="1" x14ac:dyDescent="0.15">
      <c r="A35" s="29"/>
      <c r="B35" s="659" t="s">
        <v>24</v>
      </c>
      <c r="C35" s="660"/>
      <c r="D35" s="661"/>
      <c r="E35" s="661"/>
      <c r="F35" s="661"/>
      <c r="G35" s="662"/>
      <c r="H35" s="31"/>
    </row>
    <row r="36" spans="1:8" s="7" customFormat="1" x14ac:dyDescent="0.15">
      <c r="A36" s="29"/>
      <c r="B36" s="32"/>
      <c r="C36" s="3"/>
      <c r="D36" s="33"/>
      <c r="E36" s="4"/>
      <c r="F36" s="33"/>
      <c r="G36" s="30"/>
      <c r="H36" s="31"/>
    </row>
    <row r="37" spans="1:8" s="7" customFormat="1" x14ac:dyDescent="0.15">
      <c r="A37" s="29"/>
      <c r="B37" s="32" t="s">
        <v>9</v>
      </c>
      <c r="C37" s="3"/>
      <c r="D37" s="33">
        <v>9498.1</v>
      </c>
      <c r="E37" s="33"/>
      <c r="F37" s="33"/>
      <c r="G37" s="30"/>
      <c r="H37" s="31"/>
    </row>
    <row r="38" spans="1:8" s="7" customFormat="1" x14ac:dyDescent="0.15">
      <c r="A38" s="29"/>
      <c r="B38" s="32" t="s">
        <v>10</v>
      </c>
      <c r="C38" s="3"/>
      <c r="D38" s="33">
        <v>88693.57</v>
      </c>
      <c r="E38" s="33"/>
      <c r="F38" s="33"/>
      <c r="G38" s="30"/>
      <c r="H38" s="31"/>
    </row>
    <row r="39" spans="1:8" s="7" customFormat="1" x14ac:dyDescent="0.15">
      <c r="A39" s="29"/>
      <c r="B39" s="39" t="s">
        <v>11</v>
      </c>
      <c r="C39" s="40"/>
      <c r="D39" s="41">
        <f>D37-D38</f>
        <v>-79195.47</v>
      </c>
      <c r="E39" s="41"/>
      <c r="F39" s="41"/>
      <c r="G39" s="42"/>
      <c r="H39" s="31"/>
    </row>
    <row r="40" spans="1:8" s="7" customFormat="1" x14ac:dyDescent="0.15">
      <c r="A40" s="29"/>
      <c r="B40" s="32"/>
      <c r="C40" s="3"/>
      <c r="D40" s="33"/>
      <c r="E40" s="33"/>
      <c r="F40" s="33"/>
      <c r="G40" s="30"/>
      <c r="H40" s="31"/>
    </row>
    <row r="41" spans="1:8" s="7" customFormat="1" x14ac:dyDescent="0.15">
      <c r="A41" s="29"/>
      <c r="B41" s="32" t="s">
        <v>12</v>
      </c>
      <c r="C41" s="3"/>
      <c r="D41" s="33">
        <v>0</v>
      </c>
      <c r="E41" s="33"/>
      <c r="F41" s="33"/>
      <c r="G41" s="30"/>
      <c r="H41" s="31"/>
    </row>
    <row r="42" spans="1:8" s="7" customFormat="1" x14ac:dyDescent="0.15">
      <c r="A42" s="29"/>
      <c r="B42" s="34" t="s">
        <v>25</v>
      </c>
      <c r="C42" s="35"/>
      <c r="D42" s="36">
        <f>D39-D41</f>
        <v>-79195.47</v>
      </c>
      <c r="E42" s="36"/>
      <c r="F42" s="36"/>
      <c r="G42" s="38"/>
      <c r="H42" s="31"/>
    </row>
    <row r="43" spans="1:8" s="7" customFormat="1" x14ac:dyDescent="0.15">
      <c r="A43" s="29"/>
      <c r="B43" s="32"/>
      <c r="C43" s="3"/>
      <c r="D43" s="33"/>
      <c r="E43" s="33"/>
      <c r="F43" s="33"/>
      <c r="G43" s="30"/>
      <c r="H43" s="31"/>
    </row>
    <row r="44" spans="1:8" s="7" customFormat="1" x14ac:dyDescent="0.15">
      <c r="A44" s="29"/>
      <c r="B44" s="32"/>
      <c r="C44" s="3"/>
      <c r="D44" s="33"/>
      <c r="E44" s="33"/>
      <c r="F44" s="33"/>
      <c r="G44" s="30"/>
      <c r="H44" s="31"/>
    </row>
    <row r="45" spans="1:8" s="1" customFormat="1" x14ac:dyDescent="0.15">
      <c r="A45" s="29"/>
      <c r="B45" s="39" t="s">
        <v>14</v>
      </c>
      <c r="C45" s="51"/>
      <c r="D45" s="41">
        <v>813.19</v>
      </c>
      <c r="E45" s="41"/>
      <c r="F45" s="41"/>
      <c r="G45" s="42"/>
      <c r="H45" s="31"/>
    </row>
    <row r="46" spans="1:8" s="53" customFormat="1" x14ac:dyDescent="0.15">
      <c r="A46" s="29"/>
      <c r="B46" s="32"/>
      <c r="C46" s="52"/>
      <c r="D46" s="33"/>
      <c r="E46" s="33"/>
      <c r="F46" s="33"/>
      <c r="G46" s="30"/>
      <c r="H46" s="31"/>
    </row>
    <row r="47" spans="1:8" s="53" customFormat="1" x14ac:dyDescent="0.15">
      <c r="A47" s="29"/>
      <c r="B47" s="32" t="s">
        <v>15</v>
      </c>
      <c r="C47" s="52"/>
      <c r="D47" s="33">
        <v>0</v>
      </c>
      <c r="E47" s="33"/>
      <c r="F47" s="33"/>
      <c r="G47" s="30"/>
      <c r="H47" s="31"/>
    </row>
    <row r="48" spans="1:8" s="53" customFormat="1" x14ac:dyDescent="0.15">
      <c r="A48" s="29"/>
      <c r="B48" s="32" t="s">
        <v>16</v>
      </c>
      <c r="C48" s="52"/>
      <c r="D48" s="33">
        <v>45925.94</v>
      </c>
      <c r="E48" s="33"/>
      <c r="F48" s="33"/>
      <c r="G48" s="30"/>
      <c r="H48" s="31"/>
    </row>
    <row r="49" spans="1:8" s="1" customFormat="1" x14ac:dyDescent="0.15">
      <c r="A49" s="29"/>
      <c r="B49" s="39" t="s">
        <v>17</v>
      </c>
      <c r="C49" s="51"/>
      <c r="D49" s="41">
        <f>SUM(D47:D48)</f>
        <v>45925.94</v>
      </c>
      <c r="E49" s="41"/>
      <c r="F49" s="41"/>
      <c r="G49" s="42"/>
      <c r="H49" s="31"/>
    </row>
    <row r="50" spans="1:8" s="53" customFormat="1" x14ac:dyDescent="0.15">
      <c r="A50" s="29"/>
      <c r="B50" s="32"/>
      <c r="C50" s="52"/>
      <c r="D50" s="4"/>
      <c r="E50" s="4"/>
      <c r="F50" s="33"/>
      <c r="G50" s="30"/>
      <c r="H50" s="31"/>
    </row>
    <row r="51" spans="1:8" s="53" customFormat="1" x14ac:dyDescent="0.15">
      <c r="A51" s="29"/>
      <c r="B51" s="32" t="s">
        <v>18</v>
      </c>
      <c r="C51" s="3"/>
      <c r="D51" s="43">
        <v>-3852.05</v>
      </c>
      <c r="E51" s="4"/>
      <c r="F51" s="33"/>
      <c r="G51" s="30"/>
      <c r="H51" s="31"/>
    </row>
    <row r="52" spans="1:8" s="53" customFormat="1" x14ac:dyDescent="0.15">
      <c r="A52" s="29"/>
      <c r="B52" s="32" t="s">
        <v>19</v>
      </c>
      <c r="C52" s="3"/>
      <c r="D52" s="43">
        <v>5466.1</v>
      </c>
      <c r="E52" s="4"/>
      <c r="F52" s="33"/>
      <c r="G52" s="30"/>
      <c r="H52" s="31"/>
    </row>
    <row r="53" spans="1:8" s="53" customFormat="1" x14ac:dyDescent="0.15">
      <c r="A53" s="29"/>
      <c r="B53" s="39" t="s">
        <v>20</v>
      </c>
      <c r="C53" s="40"/>
      <c r="D53" s="46">
        <f>SUM(D51:D52)</f>
        <v>1614.0500000000002</v>
      </c>
      <c r="E53" s="41"/>
      <c r="F53" s="41"/>
      <c r="G53" s="41"/>
      <c r="H53" s="31"/>
    </row>
    <row r="54" spans="1:8" s="53" customFormat="1" x14ac:dyDescent="0.15">
      <c r="A54" s="29"/>
      <c r="B54" s="32"/>
      <c r="C54" s="3"/>
      <c r="D54" s="33"/>
      <c r="E54" s="4"/>
      <c r="F54" s="33"/>
      <c r="G54" s="30"/>
      <c r="H54" s="31"/>
    </row>
    <row r="55" spans="1:8" s="53" customFormat="1" x14ac:dyDescent="0.15">
      <c r="A55" s="29"/>
      <c r="B55" s="32" t="s">
        <v>21</v>
      </c>
      <c r="C55" s="3"/>
      <c r="D55" s="43">
        <v>-589</v>
      </c>
      <c r="E55" s="4"/>
      <c r="F55" s="33"/>
      <c r="G55" s="30"/>
      <c r="H55" s="31"/>
    </row>
    <row r="56" spans="1:8" s="53" customFormat="1" x14ac:dyDescent="0.15">
      <c r="A56" s="29"/>
      <c r="B56" s="32" t="s">
        <v>22</v>
      </c>
      <c r="C56" s="3"/>
      <c r="D56" s="43">
        <v>3599.6</v>
      </c>
      <c r="E56" s="4"/>
      <c r="F56" s="33"/>
      <c r="G56" s="30"/>
      <c r="H56" s="31"/>
    </row>
    <row r="57" spans="1:8" s="53" customFormat="1" x14ac:dyDescent="0.15">
      <c r="A57" s="29"/>
      <c r="B57" s="39" t="s">
        <v>23</v>
      </c>
      <c r="C57" s="40"/>
      <c r="D57" s="46">
        <f>SUM(D55:D56)</f>
        <v>3010.6</v>
      </c>
      <c r="E57" s="41"/>
      <c r="F57" s="41"/>
      <c r="G57" s="41"/>
      <c r="H57" s="31"/>
    </row>
    <row r="58" spans="1:8" s="53" customFormat="1" x14ac:dyDescent="0.15">
      <c r="A58" s="29"/>
      <c r="B58" s="32"/>
      <c r="C58" s="52"/>
      <c r="D58" s="4"/>
      <c r="E58" s="4"/>
      <c r="F58" s="33"/>
      <c r="G58" s="30"/>
      <c r="H58" s="31"/>
    </row>
    <row r="59" spans="1:8" s="53" customFormat="1" x14ac:dyDescent="0.15">
      <c r="A59" s="29"/>
      <c r="B59" s="32"/>
      <c r="C59" s="52"/>
      <c r="D59" s="4"/>
      <c r="E59" s="4"/>
      <c r="F59" s="33"/>
      <c r="G59" s="30"/>
      <c r="H59" s="31"/>
    </row>
    <row r="60" spans="1:8" s="57" customFormat="1" ht="12" x14ac:dyDescent="0.25">
      <c r="A60" s="23"/>
      <c r="B60" s="54" t="s">
        <v>26</v>
      </c>
      <c r="C60" s="55"/>
      <c r="D60" s="56"/>
      <c r="E60" s="26"/>
      <c r="F60" s="26"/>
      <c r="G60" s="49"/>
      <c r="H60" s="50"/>
    </row>
    <row r="61" spans="1:8" s="53" customFormat="1" x14ac:dyDescent="0.15">
      <c r="A61" s="29"/>
      <c r="B61" s="7"/>
      <c r="C61" s="52"/>
      <c r="D61" s="58"/>
      <c r="E61" s="4"/>
      <c r="F61" s="4"/>
      <c r="G61" s="30"/>
      <c r="H61" s="31"/>
    </row>
    <row r="62" spans="1:8" s="53" customFormat="1" x14ac:dyDescent="0.15">
      <c r="A62" s="29"/>
      <c r="B62" s="31" t="s">
        <v>27</v>
      </c>
      <c r="C62" s="52"/>
      <c r="D62" s="59"/>
      <c r="E62" s="4"/>
      <c r="F62" s="33">
        <f>'Banking &amp; InvestM 23-24'!F50</f>
        <v>246935.95</v>
      </c>
      <c r="G62" s="30"/>
    </row>
    <row r="63" spans="1:8" s="53" customFormat="1" x14ac:dyDescent="0.15">
      <c r="A63" s="29"/>
      <c r="B63" s="31" t="s">
        <v>28</v>
      </c>
      <c r="C63" s="52"/>
      <c r="D63" s="59"/>
      <c r="E63" s="4"/>
      <c r="F63" s="33">
        <f>'Banking &amp; InvestM 23-24'!F54</f>
        <v>755700.61</v>
      </c>
      <c r="G63" s="30"/>
    </row>
    <row r="64" spans="1:8" s="53" customFormat="1" x14ac:dyDescent="0.15">
      <c r="A64" s="29"/>
      <c r="B64" s="60" t="s">
        <v>29</v>
      </c>
      <c r="C64" s="61"/>
      <c r="D64" s="62" t="s">
        <v>30</v>
      </c>
      <c r="E64" s="63"/>
      <c r="F64" s="63">
        <f>SUM(F62:F63)</f>
        <v>1002636.56</v>
      </c>
      <c r="G64" s="64"/>
    </row>
    <row r="65" spans="1:8" s="53" customFormat="1" x14ac:dyDescent="0.15">
      <c r="A65" s="29"/>
      <c r="B65" s="7"/>
      <c r="C65" s="65"/>
      <c r="D65" s="59"/>
      <c r="E65" s="4"/>
      <c r="F65" s="4"/>
      <c r="G65" s="30"/>
    </row>
    <row r="66" spans="1:8" s="53" customFormat="1" x14ac:dyDescent="0.15">
      <c r="A66" s="29"/>
      <c r="B66" s="7"/>
      <c r="C66" s="65"/>
      <c r="D66" s="59"/>
      <c r="E66" s="4"/>
      <c r="F66" s="4"/>
      <c r="G66" s="30"/>
    </row>
    <row r="67" spans="1:8" s="53" customFormat="1" x14ac:dyDescent="0.15">
      <c r="A67" s="29"/>
      <c r="B67" s="31" t="s">
        <v>32</v>
      </c>
      <c r="C67" s="52"/>
      <c r="D67" s="59" t="s">
        <v>30</v>
      </c>
      <c r="E67" s="4"/>
      <c r="F67" s="33">
        <f>'Banking &amp; InvestM 23-24'!F63</f>
        <v>71199.12</v>
      </c>
      <c r="G67" s="30"/>
    </row>
    <row r="68" spans="1:8" s="53" customFormat="1" x14ac:dyDescent="0.15">
      <c r="A68" s="29"/>
      <c r="B68" s="31" t="s">
        <v>32</v>
      </c>
      <c r="D68" s="59" t="s">
        <v>33</v>
      </c>
      <c r="E68" s="66"/>
      <c r="F68" s="801">
        <f>'Banking &amp; InvestM 23-24'!F64</f>
        <v>34047.03</v>
      </c>
      <c r="G68" s="30"/>
    </row>
    <row r="69" spans="1:8" s="53" customFormat="1" x14ac:dyDescent="0.15">
      <c r="A69" s="29"/>
      <c r="B69" s="31" t="s">
        <v>32</v>
      </c>
      <c r="D69" s="59" t="s">
        <v>34</v>
      </c>
      <c r="E69" s="66"/>
      <c r="F69" s="33">
        <f>'Banking &amp; InvestM 23-24'!F65</f>
        <v>15341.86</v>
      </c>
      <c r="G69" s="30"/>
    </row>
    <row r="70" spans="1:8" s="53" customFormat="1" x14ac:dyDescent="0.15">
      <c r="A70" s="29"/>
      <c r="B70" s="60" t="s">
        <v>35</v>
      </c>
      <c r="C70" s="67"/>
      <c r="D70" s="68" t="s">
        <v>36</v>
      </c>
      <c r="E70" s="69"/>
      <c r="F70" s="63">
        <f>SUM(F67:F69)</f>
        <v>120588.01</v>
      </c>
      <c r="G70" s="64"/>
    </row>
    <row r="71" spans="1:8" s="53" customFormat="1" x14ac:dyDescent="0.15">
      <c r="A71" s="29"/>
      <c r="B71" s="31"/>
      <c r="D71" s="59"/>
      <c r="E71" s="66"/>
      <c r="F71" s="70"/>
      <c r="G71" s="30"/>
    </row>
    <row r="72" spans="1:8" s="53" customFormat="1" x14ac:dyDescent="0.15">
      <c r="A72" s="29"/>
      <c r="B72" s="71" t="s">
        <v>37</v>
      </c>
      <c r="C72" s="72"/>
      <c r="D72" s="73"/>
      <c r="E72" s="73"/>
      <c r="F72" s="74">
        <f>F64+F70</f>
        <v>1123224.57</v>
      </c>
      <c r="G72" s="37"/>
    </row>
    <row r="73" spans="1:8" s="53" customFormat="1" x14ac:dyDescent="0.15">
      <c r="A73" s="29"/>
      <c r="B73" s="31"/>
      <c r="D73" s="70"/>
      <c r="E73" s="66"/>
      <c r="F73" s="70"/>
      <c r="G73" s="30"/>
    </row>
    <row r="74" spans="1:8" s="1" customFormat="1" x14ac:dyDescent="0.15">
      <c r="A74" s="29"/>
      <c r="B74" s="53"/>
      <c r="C74" s="53"/>
      <c r="D74" s="33"/>
      <c r="E74" s="4"/>
      <c r="F74" s="33"/>
      <c r="G74" s="30"/>
      <c r="H74" s="53"/>
    </row>
    <row r="75" spans="1:8" s="1" customFormat="1" x14ac:dyDescent="0.15">
      <c r="A75" s="29"/>
      <c r="B75" s="768"/>
      <c r="C75" s="768"/>
      <c r="D75" s="769"/>
      <c r="E75" s="770"/>
      <c r="F75" s="769"/>
      <c r="G75" s="771"/>
      <c r="H75" s="53"/>
    </row>
    <row r="76" spans="1:8" s="1" customFormat="1" ht="10.199999999999999" x14ac:dyDescent="0.2">
      <c r="A76" s="767"/>
      <c r="B76" s="734"/>
      <c r="C76" s="670"/>
      <c r="D76" s="670"/>
      <c r="E76" s="672"/>
      <c r="F76" s="671"/>
      <c r="G76" s="673"/>
      <c r="H76" s="53"/>
    </row>
    <row r="77" spans="1:8" s="1" customFormat="1" ht="10.199999999999999" x14ac:dyDescent="0.2">
      <c r="A77" s="767"/>
      <c r="B77" s="665" t="s">
        <v>688</v>
      </c>
      <c r="C77" s="776"/>
      <c r="D77" s="776"/>
      <c r="E77" s="668"/>
      <c r="F77" s="777"/>
      <c r="G77" s="779"/>
      <c r="H77" s="53"/>
    </row>
    <row r="78" spans="1:8" s="1" customFormat="1" ht="10.199999999999999" x14ac:dyDescent="0.2">
      <c r="A78" s="767"/>
      <c r="B78" s="780" t="s">
        <v>684</v>
      </c>
      <c r="C78" s="778"/>
      <c r="D78" s="668"/>
      <c r="E78" s="668"/>
      <c r="F78" s="777">
        <f>F64</f>
        <v>1002636.56</v>
      </c>
      <c r="G78" s="669"/>
      <c r="H78" s="53"/>
    </row>
    <row r="79" spans="1:8" s="1" customFormat="1" ht="10.199999999999999" x14ac:dyDescent="0.2">
      <c r="A79" s="767"/>
      <c r="B79" s="780" t="s">
        <v>31</v>
      </c>
      <c r="C79" s="666"/>
      <c r="D79" s="667"/>
      <c r="E79" s="668"/>
      <c r="F79" s="777">
        <v>714286.23</v>
      </c>
      <c r="G79" s="669"/>
      <c r="H79" s="53"/>
    </row>
    <row r="80" spans="1:8" s="1" customFormat="1" ht="10.199999999999999" x14ac:dyDescent="0.2">
      <c r="A80" s="767"/>
      <c r="B80" s="665" t="s">
        <v>685</v>
      </c>
      <c r="C80" s="666"/>
      <c r="D80" s="667"/>
      <c r="E80" s="668"/>
      <c r="F80" s="668">
        <f>F78-F79</f>
        <v>288350.33000000007</v>
      </c>
      <c r="G80" s="669"/>
      <c r="H80" s="53"/>
    </row>
    <row r="81" spans="1:8" s="1" customFormat="1" ht="10.199999999999999" x14ac:dyDescent="0.2">
      <c r="A81" s="767"/>
      <c r="B81" s="674"/>
      <c r="C81" s="675"/>
      <c r="D81" s="676"/>
      <c r="E81" s="677"/>
      <c r="F81" s="676"/>
      <c r="G81" s="678"/>
      <c r="H81" s="53"/>
    </row>
    <row r="82" spans="1:8" s="1" customFormat="1" x14ac:dyDescent="0.15">
      <c r="A82" s="29"/>
      <c r="B82" s="772"/>
      <c r="C82" s="772"/>
      <c r="D82" s="773"/>
      <c r="E82" s="774"/>
      <c r="F82" s="773"/>
      <c r="G82" s="775"/>
      <c r="H82" s="53"/>
    </row>
    <row r="83" spans="1:8" s="1" customFormat="1" x14ac:dyDescent="0.15">
      <c r="A83" s="29"/>
      <c r="B83" s="53"/>
      <c r="C83" s="53"/>
      <c r="D83" s="33"/>
      <c r="E83" s="4"/>
      <c r="F83" s="33"/>
      <c r="G83" s="30"/>
      <c r="H83" s="53"/>
    </row>
    <row r="84" spans="1:8" s="1" customFormat="1" x14ac:dyDescent="0.15">
      <c r="A84" s="29"/>
      <c r="B84" s="53"/>
      <c r="C84" s="53"/>
      <c r="D84" s="33"/>
      <c r="E84" s="4"/>
      <c r="F84" s="33"/>
      <c r="G84" s="30"/>
      <c r="H84" s="53"/>
    </row>
    <row r="85" spans="1:8" s="1" customFormat="1" x14ac:dyDescent="0.15">
      <c r="A85" s="29"/>
      <c r="B85" s="53"/>
      <c r="C85" s="53"/>
      <c r="D85" s="33"/>
      <c r="E85" s="4"/>
      <c r="F85" s="33"/>
      <c r="G85" s="30"/>
      <c r="H85" s="53"/>
    </row>
    <row r="86" spans="1:8" s="1" customFormat="1" x14ac:dyDescent="0.15">
      <c r="A86" s="29"/>
      <c r="B86" s="53"/>
      <c r="C86" s="53"/>
      <c r="D86" s="33"/>
      <c r="E86" s="4"/>
      <c r="F86" s="33"/>
      <c r="G86" s="30"/>
      <c r="H86" s="53"/>
    </row>
    <row r="87" spans="1:8" s="1" customFormat="1" x14ac:dyDescent="0.15">
      <c r="A87" s="29"/>
      <c r="B87" s="53"/>
      <c r="C87" s="53"/>
      <c r="D87" s="33"/>
      <c r="E87" s="4"/>
      <c r="F87" s="33"/>
      <c r="G87" s="30"/>
      <c r="H87" s="53"/>
    </row>
    <row r="88" spans="1:8" s="1" customFormat="1" x14ac:dyDescent="0.15">
      <c r="A88" s="29"/>
      <c r="B88" s="53"/>
      <c r="C88" s="53"/>
      <c r="D88" s="33"/>
      <c r="E88" s="4"/>
      <c r="F88" s="33"/>
      <c r="G88" s="30"/>
      <c r="H88" s="53"/>
    </row>
    <row r="89" spans="1:8" s="1" customFormat="1" x14ac:dyDescent="0.15">
      <c r="A89" s="29"/>
      <c r="B89" s="53"/>
      <c r="C89" s="53"/>
      <c r="D89" s="33"/>
      <c r="E89" s="4"/>
      <c r="F89" s="33"/>
      <c r="G89" s="30"/>
      <c r="H89" s="53"/>
    </row>
    <row r="90" spans="1:8" s="1" customFormat="1" x14ac:dyDescent="0.15">
      <c r="A90" s="29"/>
      <c r="B90" s="53"/>
      <c r="C90" s="53"/>
      <c r="D90" s="33"/>
      <c r="E90" s="4"/>
      <c r="F90" s="33"/>
      <c r="G90" s="30"/>
      <c r="H90" s="53"/>
    </row>
    <row r="91" spans="1:8" s="1" customFormat="1" x14ac:dyDescent="0.15">
      <c r="A91" s="29"/>
      <c r="B91" s="53"/>
      <c r="C91" s="53"/>
      <c r="D91" s="33"/>
      <c r="E91" s="4"/>
      <c r="F91" s="33"/>
      <c r="G91" s="30"/>
      <c r="H91" s="53"/>
    </row>
    <row r="92" spans="1:8" s="1" customFormat="1" x14ac:dyDescent="0.15">
      <c r="A92" s="29"/>
      <c r="B92" s="53"/>
      <c r="C92" s="53"/>
      <c r="D92" s="33"/>
      <c r="E92" s="4"/>
      <c r="F92" s="33"/>
      <c r="G92" s="30"/>
      <c r="H92" s="53"/>
    </row>
    <row r="93" spans="1:8" s="1" customFormat="1" x14ac:dyDescent="0.15">
      <c r="A93" s="29"/>
      <c r="B93" s="53"/>
      <c r="C93" s="53"/>
      <c r="D93" s="33"/>
      <c r="E93" s="4"/>
      <c r="F93" s="33"/>
      <c r="G93" s="30"/>
      <c r="H93" s="53"/>
    </row>
    <row r="94" spans="1:8" x14ac:dyDescent="0.15">
      <c r="B94" s="53"/>
      <c r="C94" s="53"/>
      <c r="D94" s="33"/>
      <c r="H94" s="53"/>
    </row>
    <row r="95" spans="1:8" x14ac:dyDescent="0.15">
      <c r="B95" s="53"/>
      <c r="C95" s="53"/>
      <c r="D95" s="33"/>
    </row>
    <row r="96" spans="1:8" x14ac:dyDescent="0.15">
      <c r="B96" s="53"/>
      <c r="C96" s="53"/>
      <c r="D96" s="33"/>
    </row>
    <row r="97" spans="1:8" x14ac:dyDescent="0.15">
      <c r="B97" s="53"/>
      <c r="C97" s="53"/>
      <c r="D97" s="33"/>
    </row>
    <row r="98" spans="1:8" x14ac:dyDescent="0.15">
      <c r="B98" s="53"/>
      <c r="C98" s="53"/>
      <c r="D98" s="33"/>
    </row>
    <row r="99" spans="1:8" x14ac:dyDescent="0.15">
      <c r="B99" s="53"/>
      <c r="C99" s="53"/>
      <c r="D99" s="33"/>
      <c r="H99" s="75"/>
    </row>
    <row r="100" spans="1:8" x14ac:dyDescent="0.15">
      <c r="B100" s="53"/>
      <c r="C100" s="53"/>
      <c r="D100" s="33"/>
      <c r="H100" s="75"/>
    </row>
    <row r="101" spans="1:8" x14ac:dyDescent="0.15">
      <c r="B101" s="53"/>
      <c r="C101" s="53"/>
      <c r="D101" s="33"/>
      <c r="H101" s="75"/>
    </row>
    <row r="102" spans="1:8" x14ac:dyDescent="0.15">
      <c r="B102" s="53"/>
      <c r="C102" s="53"/>
      <c r="D102" s="33"/>
      <c r="H102" s="75"/>
    </row>
    <row r="103" spans="1:8" x14ac:dyDescent="0.15">
      <c r="B103" s="53"/>
      <c r="C103" s="53"/>
      <c r="D103" s="33"/>
      <c r="H103" s="75"/>
    </row>
    <row r="104" spans="1:8" x14ac:dyDescent="0.15">
      <c r="D104" s="33"/>
      <c r="F104" s="4"/>
      <c r="H104" s="75"/>
    </row>
    <row r="105" spans="1:8" x14ac:dyDescent="0.15">
      <c r="D105" s="33"/>
      <c r="F105" s="4"/>
      <c r="H105" s="75"/>
    </row>
    <row r="106" spans="1:8" x14ac:dyDescent="0.15">
      <c r="D106" s="33"/>
      <c r="F106" s="4"/>
      <c r="H106" s="75"/>
    </row>
    <row r="107" spans="1:8" x14ac:dyDescent="0.15">
      <c r="D107" s="33"/>
      <c r="F107" s="4"/>
    </row>
    <row r="108" spans="1:8" s="30" customFormat="1" x14ac:dyDescent="0.15">
      <c r="A108" s="29"/>
      <c r="B108" s="32"/>
      <c r="C108" s="52"/>
      <c r="D108" s="33"/>
      <c r="E108" s="4"/>
      <c r="F108" s="4"/>
      <c r="H108" s="31"/>
    </row>
    <row r="109" spans="1:8" s="30" customFormat="1" x14ac:dyDescent="0.15">
      <c r="A109" s="29"/>
      <c r="B109" s="32"/>
      <c r="C109" s="52"/>
      <c r="D109" s="33"/>
      <c r="E109" s="4"/>
      <c r="F109" s="4"/>
      <c r="H109" s="31"/>
    </row>
  </sheetData>
  <pageMargins left="0.35" right="0.3" top="0.55000000000000004" bottom="0.4" header="0.3" footer="0.25"/>
  <pageSetup orientation="portrait" errors="blank" r:id="rId1"/>
  <headerFooter>
    <oddFooter>&amp;L&amp;"Arial,Regular"&amp;6Page &amp;P - As of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483E-4EB9-4027-9772-B6CE5E1D18BB}">
  <sheetPr>
    <tabColor rgb="FF0070C0"/>
  </sheetPr>
  <dimension ref="A1:E75"/>
  <sheetViews>
    <sheetView zoomScale="115" zoomScaleNormal="115" zoomScaleSheetLayoutView="100" workbookViewId="0">
      <selection activeCell="B40" sqref="B40"/>
    </sheetView>
  </sheetViews>
  <sheetFormatPr defaultColWidth="14.140625" defaultRowHeight="10.199999999999999" x14ac:dyDescent="0.2"/>
  <cols>
    <col min="1" max="1" width="4.85546875" style="87" customWidth="1"/>
    <col min="2" max="2" width="23.7109375" style="84" customWidth="1"/>
    <col min="3" max="3" width="2.5703125" style="85" customWidth="1"/>
    <col min="4" max="4" width="90.7109375" style="86" customWidth="1"/>
    <col min="5" max="5" width="14.42578125" style="86" customWidth="1"/>
    <col min="6" max="16384" width="14.140625" style="87"/>
  </cols>
  <sheetData>
    <row r="1" spans="1:5" s="77" customFormat="1" x14ac:dyDescent="0.2">
      <c r="A1" s="76"/>
      <c r="B1" s="78"/>
      <c r="D1" s="78" t="s">
        <v>0</v>
      </c>
      <c r="E1" s="78"/>
    </row>
    <row r="2" spans="1:5" s="782" customFormat="1" ht="13.2" x14ac:dyDescent="0.25">
      <c r="A2" s="781"/>
      <c r="B2" s="783"/>
      <c r="D2" s="783" t="s">
        <v>38</v>
      </c>
      <c r="E2" s="783"/>
    </row>
    <row r="3" spans="1:5" s="82" customFormat="1" x14ac:dyDescent="0.2">
      <c r="A3" s="81"/>
      <c r="B3" s="83"/>
      <c r="D3" s="83">
        <v>45413</v>
      </c>
      <c r="E3" s="83"/>
    </row>
    <row r="4" spans="1:5" s="84" customFormat="1" x14ac:dyDescent="0.2">
      <c r="B4" s="784"/>
      <c r="C4" s="85"/>
      <c r="D4" s="86"/>
      <c r="E4" s="86"/>
    </row>
    <row r="6" spans="1:5" s="84" customFormat="1" x14ac:dyDescent="0.2">
      <c r="C6" s="85"/>
      <c r="D6" s="86"/>
      <c r="E6" s="86"/>
    </row>
    <row r="7" spans="1:5" s="84" customFormat="1" x14ac:dyDescent="0.2">
      <c r="B7" s="84" t="s">
        <v>39</v>
      </c>
      <c r="C7" s="85"/>
      <c r="D7" s="86" t="s">
        <v>704</v>
      </c>
    </row>
    <row r="8" spans="1:5" s="84" customFormat="1" x14ac:dyDescent="0.2">
      <c r="C8" s="85"/>
      <c r="D8" s="86"/>
      <c r="E8" s="86"/>
    </row>
    <row r="9" spans="1:5" s="84" customFormat="1" ht="11.4" x14ac:dyDescent="0.2">
      <c r="C9" s="85"/>
      <c r="D9" s="88"/>
      <c r="E9" s="88"/>
    </row>
    <row r="10" spans="1:5" s="84" customFormat="1" ht="20.399999999999999" x14ac:dyDescent="0.2">
      <c r="B10" s="84" t="s">
        <v>40</v>
      </c>
      <c r="C10" s="85"/>
      <c r="D10" s="86" t="s">
        <v>706</v>
      </c>
    </row>
    <row r="11" spans="1:5" s="84" customFormat="1" x14ac:dyDescent="0.2">
      <c r="C11" s="85"/>
      <c r="D11" s="86"/>
    </row>
    <row r="12" spans="1:5" s="84" customFormat="1" x14ac:dyDescent="0.2">
      <c r="B12" s="785"/>
      <c r="C12" s="85"/>
      <c r="D12" s="86"/>
      <c r="E12" s="86"/>
    </row>
    <row r="13" spans="1:5" s="84" customFormat="1" x14ac:dyDescent="0.2">
      <c r="B13" s="84" t="s">
        <v>707</v>
      </c>
      <c r="C13" s="85"/>
      <c r="D13" s="86" t="s">
        <v>708</v>
      </c>
    </row>
    <row r="14" spans="1:5" x14ac:dyDescent="0.2">
      <c r="D14" s="86" t="s">
        <v>709</v>
      </c>
    </row>
    <row r="15" spans="1:5" x14ac:dyDescent="0.2">
      <c r="D15" s="86" t="s">
        <v>705</v>
      </c>
    </row>
    <row r="18" spans="2:4" s="84" customFormat="1" x14ac:dyDescent="0.2">
      <c r="B18" s="84" t="s">
        <v>710</v>
      </c>
      <c r="C18" s="85"/>
      <c r="D18" s="86" t="s">
        <v>711</v>
      </c>
    </row>
    <row r="19" spans="2:4" x14ac:dyDescent="0.2">
      <c r="D19" s="86" t="s">
        <v>712</v>
      </c>
    </row>
    <row r="20" spans="2:4" x14ac:dyDescent="0.2">
      <c r="D20" s="86" t="s">
        <v>713</v>
      </c>
    </row>
    <row r="22" spans="2:4" x14ac:dyDescent="0.2">
      <c r="D22" s="86" t="s">
        <v>717</v>
      </c>
    </row>
    <row r="23" spans="2:4" x14ac:dyDescent="0.2">
      <c r="D23" s="86" t="s">
        <v>716</v>
      </c>
    </row>
    <row r="26" spans="2:4" x14ac:dyDescent="0.2">
      <c r="B26" s="84" t="s">
        <v>42</v>
      </c>
      <c r="D26" s="86" t="s">
        <v>714</v>
      </c>
    </row>
    <row r="27" spans="2:4" x14ac:dyDescent="0.2">
      <c r="D27" s="86" t="s">
        <v>715</v>
      </c>
    </row>
    <row r="74" spans="2:4" x14ac:dyDescent="0.2">
      <c r="B74" s="737"/>
      <c r="D74" s="85"/>
    </row>
    <row r="75" spans="2:4" x14ac:dyDescent="0.2">
      <c r="B75" s="737"/>
    </row>
  </sheetData>
  <pageMargins left="0.5" right="0.3" top="0.6" bottom="0.5" header="0.4" footer="0.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BC56-7A26-4AA8-AA24-5DCFAFB7A4F4}">
  <sheetPr>
    <tabColor rgb="FF0070C0"/>
  </sheetPr>
  <dimension ref="A1:M275"/>
  <sheetViews>
    <sheetView zoomScale="145" zoomScaleNormal="145" zoomScaleSheetLayoutView="130" workbookViewId="0"/>
  </sheetViews>
  <sheetFormatPr defaultColWidth="9.140625" defaultRowHeight="7.8" x14ac:dyDescent="0.15"/>
  <cols>
    <col min="1" max="1" width="3" style="118" customWidth="1"/>
    <col min="2" max="2" width="36.28515625" style="120" customWidth="1"/>
    <col min="3" max="3" width="13.7109375" style="124" customWidth="1"/>
    <col min="4" max="4" width="13.5703125" style="125" customWidth="1"/>
    <col min="5" max="5" width="12.42578125" style="124" customWidth="1"/>
    <col min="6" max="6" width="12.85546875" style="126" customWidth="1"/>
    <col min="7" max="7" width="5.42578125" style="119" customWidth="1"/>
    <col min="8" max="8" width="32.85546875" style="120" bestFit="1" customWidth="1"/>
    <col min="9" max="9" width="9.5703125" style="120" bestFit="1" customWidth="1"/>
    <col min="10" max="10" width="10.7109375" style="120" bestFit="1" customWidth="1"/>
    <col min="11" max="11" width="9.5703125" style="120" bestFit="1" customWidth="1"/>
    <col min="12" max="12" width="6.7109375" style="120" bestFit="1" customWidth="1"/>
    <col min="13" max="16384" width="9.140625" style="120"/>
  </cols>
  <sheetData>
    <row r="1" spans="1:13" s="7" customFormat="1" x14ac:dyDescent="0.15">
      <c r="A1" s="89"/>
      <c r="B1" s="2" t="s">
        <v>0</v>
      </c>
      <c r="C1" s="90"/>
      <c r="D1" s="90"/>
      <c r="E1" s="90"/>
      <c r="F1" s="6"/>
      <c r="G1" s="91"/>
      <c r="H1" s="2"/>
    </row>
    <row r="2" spans="1:13" s="79" customFormat="1" ht="12" x14ac:dyDescent="0.25">
      <c r="A2" s="92"/>
      <c r="B2" s="80" t="s">
        <v>43</v>
      </c>
      <c r="C2" s="93"/>
      <c r="D2" s="93"/>
      <c r="E2" s="93"/>
      <c r="F2" s="94"/>
      <c r="G2" s="95"/>
      <c r="H2" s="80"/>
    </row>
    <row r="3" spans="1:13" s="82" customFormat="1" ht="10.199999999999999" x14ac:dyDescent="0.2">
      <c r="A3" s="96"/>
      <c r="B3" s="83">
        <v>45413</v>
      </c>
      <c r="C3" s="97"/>
      <c r="D3" s="97"/>
      <c r="E3" s="97"/>
      <c r="F3" s="98"/>
      <c r="G3" s="99"/>
      <c r="H3" s="100"/>
    </row>
    <row r="4" spans="1:13" s="106" customFormat="1" x14ac:dyDescent="0.15">
      <c r="A4" s="101"/>
      <c r="B4" s="102"/>
      <c r="C4" s="103"/>
      <c r="D4" s="103"/>
      <c r="E4" s="103"/>
      <c r="F4" s="104"/>
      <c r="G4" s="105"/>
    </row>
    <row r="5" spans="1:13" s="106" customFormat="1" x14ac:dyDescent="0.15">
      <c r="A5" s="101"/>
      <c r="B5" s="102"/>
      <c r="C5" s="103"/>
      <c r="D5" s="103"/>
      <c r="E5" s="103"/>
      <c r="F5" s="104"/>
      <c r="G5" s="105"/>
    </row>
    <row r="6" spans="1:13" s="106" customFormat="1" ht="10.199999999999999" x14ac:dyDescent="0.2">
      <c r="A6" s="101"/>
      <c r="B6" s="102"/>
      <c r="C6" s="831">
        <f>B3</f>
        <v>45413</v>
      </c>
      <c r="D6" s="831"/>
      <c r="E6" s="831"/>
      <c r="F6" s="831"/>
      <c r="G6" s="105"/>
    </row>
    <row r="7" spans="1:13" s="110" customFormat="1" ht="15.6" x14ac:dyDescent="0.15">
      <c r="A7" s="101"/>
      <c r="B7" s="102"/>
      <c r="C7" s="107" t="s">
        <v>44</v>
      </c>
      <c r="D7" s="107" t="s">
        <v>45</v>
      </c>
      <c r="E7" s="107" t="s">
        <v>46</v>
      </c>
      <c r="F7" s="108" t="s">
        <v>47</v>
      </c>
      <c r="G7" s="109"/>
      <c r="H7" s="106"/>
      <c r="I7" s="106"/>
    </row>
    <row r="8" spans="1:13" s="117" customFormat="1" x14ac:dyDescent="0.15">
      <c r="A8" s="111"/>
      <c r="B8" s="112"/>
      <c r="C8" s="113"/>
      <c r="D8" s="114"/>
      <c r="E8" s="113"/>
      <c r="F8" s="115"/>
      <c r="G8" s="116"/>
      <c r="H8" s="106"/>
      <c r="I8" s="106"/>
      <c r="J8" s="110"/>
      <c r="K8" s="110"/>
      <c r="L8" s="110"/>
      <c r="M8" s="110"/>
    </row>
    <row r="9" spans="1:13" s="117" customFormat="1" x14ac:dyDescent="0.15">
      <c r="A9" s="111"/>
      <c r="B9" s="112"/>
      <c r="C9" s="113"/>
      <c r="D9" s="114"/>
      <c r="E9" s="113"/>
      <c r="F9" s="115"/>
      <c r="G9" s="116"/>
      <c r="H9" s="106"/>
      <c r="I9" s="106"/>
      <c r="J9" s="110"/>
      <c r="K9" s="110"/>
      <c r="L9" s="110"/>
      <c r="M9" s="110"/>
    </row>
    <row r="10" spans="1:13" s="117" customFormat="1" x14ac:dyDescent="0.15">
      <c r="A10" s="111"/>
      <c r="B10" s="112"/>
      <c r="C10" s="113"/>
      <c r="D10" s="114"/>
      <c r="E10" s="113"/>
      <c r="F10" s="115"/>
      <c r="G10" s="116"/>
      <c r="H10" s="106"/>
      <c r="I10" s="106"/>
      <c r="J10" s="110"/>
      <c r="K10" s="110"/>
      <c r="L10" s="110"/>
      <c r="M10" s="110"/>
    </row>
    <row r="11" spans="1:13" s="692" customFormat="1" ht="10.199999999999999" x14ac:dyDescent="0.2">
      <c r="A11" s="690"/>
      <c r="B11" s="802" t="s">
        <v>41</v>
      </c>
      <c r="C11" s="814"/>
      <c r="D11" s="814"/>
      <c r="E11" s="814"/>
      <c r="F11" s="803"/>
      <c r="G11" s="691"/>
    </row>
    <row r="12" spans="1:13" x14ac:dyDescent="0.15">
      <c r="B12" s="804" t="s">
        <v>48</v>
      </c>
      <c r="C12" s="48">
        <f>341550</f>
        <v>341550</v>
      </c>
      <c r="D12" s="48">
        <f>410200</f>
        <v>410200</v>
      </c>
      <c r="E12" s="48">
        <f t="shared" ref="E12:E51" si="0">(C12)-(D12)</f>
        <v>-68650</v>
      </c>
      <c r="F12" s="805">
        <f t="shared" ref="F12:F51" si="1">IF(D12=0,"",(C12)/(D12))</f>
        <v>0.83264261335933687</v>
      </c>
    </row>
    <row r="13" spans="1:13" x14ac:dyDescent="0.15">
      <c r="B13" s="804" t="s">
        <v>49</v>
      </c>
      <c r="C13" s="48">
        <f>5700</f>
        <v>5700</v>
      </c>
      <c r="D13" s="48">
        <f>0</f>
        <v>0</v>
      </c>
      <c r="E13" s="48">
        <f t="shared" si="0"/>
        <v>5700</v>
      </c>
      <c r="F13" s="805" t="str">
        <f t="shared" si="1"/>
        <v/>
      </c>
    </row>
    <row r="14" spans="1:13" x14ac:dyDescent="0.15">
      <c r="B14" s="804" t="s">
        <v>50</v>
      </c>
      <c r="C14" s="48">
        <f>10950</f>
        <v>10950</v>
      </c>
      <c r="D14" s="48">
        <f>0</f>
        <v>0</v>
      </c>
      <c r="E14" s="48">
        <f t="shared" si="0"/>
        <v>10950</v>
      </c>
      <c r="F14" s="805" t="str">
        <f t="shared" si="1"/>
        <v/>
      </c>
    </row>
    <row r="15" spans="1:13" x14ac:dyDescent="0.15">
      <c r="B15" s="804" t="s">
        <v>51</v>
      </c>
      <c r="C15" s="48">
        <f>30875</f>
        <v>30875</v>
      </c>
      <c r="D15" s="48">
        <f>0</f>
        <v>0</v>
      </c>
      <c r="E15" s="48">
        <f t="shared" si="0"/>
        <v>30875</v>
      </c>
      <c r="F15" s="805" t="str">
        <f t="shared" si="1"/>
        <v/>
      </c>
    </row>
    <row r="16" spans="1:13" x14ac:dyDescent="0.15">
      <c r="B16" s="806" t="s">
        <v>52</v>
      </c>
      <c r="C16" s="815">
        <f>(((C12)+(C13))+(C14))+(C15)</f>
        <v>389075</v>
      </c>
      <c r="D16" s="815">
        <f>(((D12)+(D13))+(D14))+(D15)</f>
        <v>410200</v>
      </c>
      <c r="E16" s="815">
        <f t="shared" si="0"/>
        <v>-21125</v>
      </c>
      <c r="F16" s="807">
        <f t="shared" si="1"/>
        <v>0.94850073135056068</v>
      </c>
    </row>
    <row r="17" spans="1:6" s="119" customFormat="1" x14ac:dyDescent="0.15">
      <c r="A17" s="118"/>
      <c r="B17" s="804" t="s">
        <v>53</v>
      </c>
      <c r="C17" s="48">
        <f>1920</f>
        <v>1920</v>
      </c>
      <c r="D17" s="48">
        <f>1800</f>
        <v>1800</v>
      </c>
      <c r="E17" s="48">
        <f t="shared" si="0"/>
        <v>120</v>
      </c>
      <c r="F17" s="805">
        <f t="shared" si="1"/>
        <v>1.0666666666666667</v>
      </c>
    </row>
    <row r="18" spans="1:6" s="119" customFormat="1" x14ac:dyDescent="0.15">
      <c r="A18" s="118"/>
      <c r="B18" s="804" t="s">
        <v>54</v>
      </c>
      <c r="C18" s="48">
        <f>22000</f>
        <v>22000</v>
      </c>
      <c r="D18" s="48">
        <f>30000</f>
        <v>30000</v>
      </c>
      <c r="E18" s="48">
        <f t="shared" si="0"/>
        <v>-8000</v>
      </c>
      <c r="F18" s="805">
        <f t="shared" si="1"/>
        <v>0.73333333333333328</v>
      </c>
    </row>
    <row r="19" spans="1:6" s="119" customFormat="1" x14ac:dyDescent="0.15">
      <c r="A19" s="118"/>
      <c r="B19" s="804" t="s">
        <v>55</v>
      </c>
      <c r="C19" s="48">
        <f>0</f>
        <v>0</v>
      </c>
      <c r="D19" s="48">
        <f>4250</f>
        <v>4250</v>
      </c>
      <c r="E19" s="48">
        <f t="shared" si="0"/>
        <v>-4250</v>
      </c>
      <c r="F19" s="805">
        <f t="shared" si="1"/>
        <v>0</v>
      </c>
    </row>
    <row r="20" spans="1:6" s="119" customFormat="1" x14ac:dyDescent="0.15">
      <c r="A20" s="118"/>
      <c r="B20" s="804" t="s">
        <v>56</v>
      </c>
      <c r="C20" s="816"/>
      <c r="D20" s="48">
        <f>0</f>
        <v>0</v>
      </c>
      <c r="E20" s="48">
        <f t="shared" si="0"/>
        <v>0</v>
      </c>
      <c r="F20" s="805" t="str">
        <f t="shared" si="1"/>
        <v/>
      </c>
    </row>
    <row r="21" spans="1:6" s="119" customFormat="1" x14ac:dyDescent="0.15">
      <c r="A21" s="118"/>
      <c r="B21" s="804" t="s">
        <v>57</v>
      </c>
      <c r="C21" s="816"/>
      <c r="D21" s="48">
        <f>0</f>
        <v>0</v>
      </c>
      <c r="E21" s="48">
        <f t="shared" si="0"/>
        <v>0</v>
      </c>
      <c r="F21" s="805" t="str">
        <f t="shared" si="1"/>
        <v/>
      </c>
    </row>
    <row r="22" spans="1:6" s="119" customFormat="1" x14ac:dyDescent="0.15">
      <c r="A22" s="118"/>
      <c r="B22" s="806" t="s">
        <v>58</v>
      </c>
      <c r="C22" s="817"/>
      <c r="D22" s="815">
        <f>9150</f>
        <v>9150</v>
      </c>
      <c r="E22" s="815">
        <f t="shared" si="0"/>
        <v>-9150</v>
      </c>
      <c r="F22" s="807">
        <f t="shared" si="1"/>
        <v>0</v>
      </c>
    </row>
    <row r="23" spans="1:6" s="119" customFormat="1" x14ac:dyDescent="0.15">
      <c r="A23" s="118"/>
      <c r="B23" s="804" t="s">
        <v>59</v>
      </c>
      <c r="C23" s="48">
        <f>149.06</f>
        <v>149.06</v>
      </c>
      <c r="D23" s="48">
        <f>0</f>
        <v>0</v>
      </c>
      <c r="E23" s="48">
        <f t="shared" si="0"/>
        <v>149.06</v>
      </c>
      <c r="F23" s="805" t="str">
        <f t="shared" si="1"/>
        <v/>
      </c>
    </row>
    <row r="24" spans="1:6" s="119" customFormat="1" x14ac:dyDescent="0.15">
      <c r="A24" s="118"/>
      <c r="B24" s="804" t="s">
        <v>60</v>
      </c>
      <c r="C24" s="816"/>
      <c r="D24" s="48">
        <f>0</f>
        <v>0</v>
      </c>
      <c r="E24" s="48">
        <f t="shared" si="0"/>
        <v>0</v>
      </c>
      <c r="F24" s="805" t="str">
        <f t="shared" si="1"/>
        <v/>
      </c>
    </row>
    <row r="25" spans="1:6" s="119" customFormat="1" x14ac:dyDescent="0.15">
      <c r="A25" s="118"/>
      <c r="B25" s="804" t="s">
        <v>61</v>
      </c>
      <c r="C25" s="48">
        <f>79.88</f>
        <v>79.88</v>
      </c>
      <c r="D25" s="48">
        <f>0</f>
        <v>0</v>
      </c>
      <c r="E25" s="48">
        <f t="shared" si="0"/>
        <v>79.88</v>
      </c>
      <c r="F25" s="805" t="str">
        <f t="shared" si="1"/>
        <v/>
      </c>
    </row>
    <row r="26" spans="1:6" s="119" customFormat="1" x14ac:dyDescent="0.15">
      <c r="A26" s="118"/>
      <c r="B26" s="804" t="s">
        <v>62</v>
      </c>
      <c r="C26" s="816"/>
      <c r="D26" s="48">
        <f>0</f>
        <v>0</v>
      </c>
      <c r="E26" s="48">
        <f t="shared" si="0"/>
        <v>0</v>
      </c>
      <c r="F26" s="805" t="str">
        <f t="shared" si="1"/>
        <v/>
      </c>
    </row>
    <row r="27" spans="1:6" s="119" customFormat="1" x14ac:dyDescent="0.15">
      <c r="A27" s="118"/>
      <c r="B27" s="806" t="s">
        <v>63</v>
      </c>
      <c r="C27" s="815">
        <f>((((C22)+(C23))+(C24))+(C25))+(C26)</f>
        <v>228.94</v>
      </c>
      <c r="D27" s="815">
        <f>((((D22)+(D23))+(D24))+(D25))+(D26)</f>
        <v>9150</v>
      </c>
      <c r="E27" s="815">
        <f t="shared" si="0"/>
        <v>-8921.06</v>
      </c>
      <c r="F27" s="807">
        <f t="shared" si="1"/>
        <v>2.5020765027322405E-2</v>
      </c>
    </row>
    <row r="28" spans="1:6" s="119" customFormat="1" x14ac:dyDescent="0.15">
      <c r="A28" s="118"/>
      <c r="B28" s="804" t="s">
        <v>64</v>
      </c>
      <c r="C28" s="816"/>
      <c r="D28" s="48">
        <f>832370</f>
        <v>832370</v>
      </c>
      <c r="E28" s="48">
        <f t="shared" si="0"/>
        <v>-832370</v>
      </c>
      <c r="F28" s="805">
        <f t="shared" si="1"/>
        <v>0</v>
      </c>
    </row>
    <row r="29" spans="1:6" s="119" customFormat="1" x14ac:dyDescent="0.15">
      <c r="A29" s="118"/>
      <c r="B29" s="804" t="s">
        <v>65</v>
      </c>
      <c r="C29" s="48">
        <v>616901.49</v>
      </c>
      <c r="D29" s="48">
        <f>0</f>
        <v>0</v>
      </c>
      <c r="E29" s="48">
        <f t="shared" si="0"/>
        <v>616901.49</v>
      </c>
      <c r="F29" s="805" t="str">
        <f t="shared" si="1"/>
        <v/>
      </c>
    </row>
    <row r="30" spans="1:6" s="119" customFormat="1" x14ac:dyDescent="0.15">
      <c r="A30" s="118"/>
      <c r="B30" s="804" t="s">
        <v>66</v>
      </c>
      <c r="C30" s="48">
        <f>1216</f>
        <v>1216</v>
      </c>
      <c r="D30" s="48">
        <f>0</f>
        <v>0</v>
      </c>
      <c r="E30" s="48">
        <f t="shared" si="0"/>
        <v>1216</v>
      </c>
      <c r="F30" s="805" t="str">
        <f t="shared" si="1"/>
        <v/>
      </c>
    </row>
    <row r="31" spans="1:6" s="119" customFormat="1" x14ac:dyDescent="0.15">
      <c r="A31" s="118"/>
      <c r="B31" s="804" t="s">
        <v>67</v>
      </c>
      <c r="C31" s="48">
        <v>256</v>
      </c>
      <c r="D31" s="48">
        <f>0</f>
        <v>0</v>
      </c>
      <c r="E31" s="48">
        <f t="shared" si="0"/>
        <v>256</v>
      </c>
      <c r="F31" s="805" t="str">
        <f t="shared" si="1"/>
        <v/>
      </c>
    </row>
    <row r="32" spans="1:6" s="119" customFormat="1" x14ac:dyDescent="0.15">
      <c r="A32" s="118"/>
      <c r="B32" s="804" t="s">
        <v>68</v>
      </c>
      <c r="C32" s="48">
        <f>896</f>
        <v>896</v>
      </c>
      <c r="D32" s="48">
        <f>0</f>
        <v>0</v>
      </c>
      <c r="E32" s="48">
        <f t="shared" si="0"/>
        <v>896</v>
      </c>
      <c r="F32" s="805" t="str">
        <f t="shared" si="1"/>
        <v/>
      </c>
    </row>
    <row r="33" spans="1:6" s="119" customFormat="1" ht="15.6" x14ac:dyDescent="0.15">
      <c r="A33" s="118"/>
      <c r="B33" s="806" t="s">
        <v>69</v>
      </c>
      <c r="C33" s="815">
        <f>((((C28)+(C29))+(C30))+(C31))+(C32)</f>
        <v>619269.49</v>
      </c>
      <c r="D33" s="815">
        <f>((((D28)+(D29))+(D30))+(D31))+(D32)</f>
        <v>832370</v>
      </c>
      <c r="E33" s="815">
        <f t="shared" si="0"/>
        <v>-213100.51</v>
      </c>
      <c r="F33" s="807">
        <f t="shared" si="1"/>
        <v>0.74398343284837276</v>
      </c>
    </row>
    <row r="34" spans="1:6" s="119" customFormat="1" x14ac:dyDescent="0.15">
      <c r="A34" s="118"/>
      <c r="B34" s="804" t="s">
        <v>70</v>
      </c>
      <c r="C34" s="48">
        <f>20808.7</f>
        <v>20808.7</v>
      </c>
      <c r="D34" s="48">
        <f>26840</f>
        <v>26840</v>
      </c>
      <c r="E34" s="48">
        <f t="shared" si="0"/>
        <v>-6031.2999999999993</v>
      </c>
      <c r="F34" s="805">
        <f t="shared" si="1"/>
        <v>0.77528688524590161</v>
      </c>
    </row>
    <row r="35" spans="1:6" s="119" customFormat="1" x14ac:dyDescent="0.15">
      <c r="A35" s="118"/>
      <c r="B35" s="804" t="s">
        <v>71</v>
      </c>
      <c r="C35" s="816"/>
      <c r="D35" s="48">
        <f>3255</f>
        <v>3255</v>
      </c>
      <c r="E35" s="48">
        <f t="shared" si="0"/>
        <v>-3255</v>
      </c>
      <c r="F35" s="805">
        <f t="shared" si="1"/>
        <v>0</v>
      </c>
    </row>
    <row r="36" spans="1:6" s="119" customFormat="1" x14ac:dyDescent="0.15">
      <c r="A36" s="118"/>
      <c r="B36" s="804" t="s">
        <v>72</v>
      </c>
      <c r="C36" s="48">
        <v>15374.02</v>
      </c>
      <c r="D36" s="48">
        <f>20000</f>
        <v>20000</v>
      </c>
      <c r="E36" s="48">
        <f t="shared" si="0"/>
        <v>-4625.9799999999996</v>
      </c>
      <c r="F36" s="805">
        <f t="shared" si="1"/>
        <v>0.76870099999999997</v>
      </c>
    </row>
    <row r="37" spans="1:6" s="119" customFormat="1" x14ac:dyDescent="0.15">
      <c r="A37" s="118"/>
      <c r="B37" s="804" t="s">
        <v>73</v>
      </c>
      <c r="C37" s="816"/>
      <c r="D37" s="48">
        <f>0</f>
        <v>0</v>
      </c>
      <c r="E37" s="48">
        <f t="shared" si="0"/>
        <v>0</v>
      </c>
      <c r="F37" s="805" t="str">
        <f t="shared" si="1"/>
        <v/>
      </c>
    </row>
    <row r="38" spans="1:6" s="119" customFormat="1" x14ac:dyDescent="0.15">
      <c r="A38" s="118"/>
      <c r="B38" s="804" t="s">
        <v>74</v>
      </c>
      <c r="C38" s="816"/>
      <c r="D38" s="48">
        <f>0</f>
        <v>0</v>
      </c>
      <c r="E38" s="48">
        <f t="shared" si="0"/>
        <v>0</v>
      </c>
      <c r="F38" s="805" t="str">
        <f t="shared" si="1"/>
        <v/>
      </c>
    </row>
    <row r="39" spans="1:6" s="119" customFormat="1" x14ac:dyDescent="0.15">
      <c r="A39" s="118"/>
      <c r="B39" s="806" t="s">
        <v>75</v>
      </c>
      <c r="C39" s="817"/>
      <c r="D39" s="815">
        <f>16000</f>
        <v>16000</v>
      </c>
      <c r="E39" s="815">
        <f t="shared" si="0"/>
        <v>-16000</v>
      </c>
      <c r="F39" s="807">
        <f t="shared" si="1"/>
        <v>0</v>
      </c>
    </row>
    <row r="40" spans="1:6" s="119" customFormat="1" x14ac:dyDescent="0.15">
      <c r="A40" s="118"/>
      <c r="B40" s="804" t="s">
        <v>76</v>
      </c>
      <c r="C40" s="48">
        <v>9537</v>
      </c>
      <c r="D40" s="48">
        <f>0</f>
        <v>0</v>
      </c>
      <c r="E40" s="48">
        <f t="shared" si="0"/>
        <v>9537</v>
      </c>
      <c r="F40" s="805" t="str">
        <f t="shared" si="1"/>
        <v/>
      </c>
    </row>
    <row r="41" spans="1:6" s="119" customFormat="1" x14ac:dyDescent="0.15">
      <c r="A41" s="118"/>
      <c r="B41" s="804" t="s">
        <v>77</v>
      </c>
      <c r="C41" s="48">
        <v>521</v>
      </c>
      <c r="D41" s="48">
        <f>0</f>
        <v>0</v>
      </c>
      <c r="E41" s="48">
        <f t="shared" si="0"/>
        <v>521</v>
      </c>
      <c r="F41" s="805" t="str">
        <f t="shared" si="1"/>
        <v/>
      </c>
    </row>
    <row r="42" spans="1:6" s="119" customFormat="1" x14ac:dyDescent="0.15">
      <c r="A42" s="118"/>
      <c r="B42" s="806" t="s">
        <v>78</v>
      </c>
      <c r="C42" s="815">
        <f>((C39)+(C40))+(C41)</f>
        <v>10058</v>
      </c>
      <c r="D42" s="815">
        <f>((D39)+(D40))+(D41)</f>
        <v>16000</v>
      </c>
      <c r="E42" s="815">
        <f t="shared" si="0"/>
        <v>-5942</v>
      </c>
      <c r="F42" s="807">
        <f t="shared" si="1"/>
        <v>0.62862499999999999</v>
      </c>
    </row>
    <row r="43" spans="1:6" s="119" customFormat="1" x14ac:dyDescent="0.15">
      <c r="A43" s="118"/>
      <c r="B43" s="804" t="s">
        <v>79</v>
      </c>
      <c r="C43" s="48">
        <f>-168</f>
        <v>-168</v>
      </c>
      <c r="D43" s="48">
        <f>0</f>
        <v>0</v>
      </c>
      <c r="E43" s="48">
        <f t="shared" si="0"/>
        <v>-168</v>
      </c>
      <c r="F43" s="805" t="str">
        <f t="shared" si="1"/>
        <v/>
      </c>
    </row>
    <row r="44" spans="1:6" s="119" customFormat="1" x14ac:dyDescent="0.15">
      <c r="A44" s="118"/>
      <c r="B44" s="804" t="s">
        <v>80</v>
      </c>
      <c r="C44" s="816"/>
      <c r="D44" s="48">
        <f>0</f>
        <v>0</v>
      </c>
      <c r="E44" s="48">
        <f t="shared" si="0"/>
        <v>0</v>
      </c>
      <c r="F44" s="805" t="str">
        <f t="shared" si="1"/>
        <v/>
      </c>
    </row>
    <row r="45" spans="1:6" s="119" customFormat="1" x14ac:dyDescent="0.15">
      <c r="A45" s="118"/>
      <c r="B45" s="804" t="s">
        <v>81</v>
      </c>
      <c r="C45" s="816">
        <v>2900</v>
      </c>
      <c r="D45" s="48">
        <f>0</f>
        <v>0</v>
      </c>
      <c r="E45" s="48">
        <f t="shared" si="0"/>
        <v>2900</v>
      </c>
      <c r="F45" s="805" t="str">
        <f t="shared" si="1"/>
        <v/>
      </c>
    </row>
    <row r="46" spans="1:6" s="119" customFormat="1" x14ac:dyDescent="0.15">
      <c r="A46" s="118"/>
      <c r="B46" s="804" t="s">
        <v>82</v>
      </c>
      <c r="C46" s="816"/>
      <c r="D46" s="48">
        <f>0</f>
        <v>0</v>
      </c>
      <c r="E46" s="48">
        <f t="shared" si="0"/>
        <v>0</v>
      </c>
      <c r="F46" s="805" t="str">
        <f t="shared" si="1"/>
        <v/>
      </c>
    </row>
    <row r="47" spans="1:6" s="119" customFormat="1" x14ac:dyDescent="0.15">
      <c r="A47" s="118"/>
      <c r="B47" s="804" t="s">
        <v>83</v>
      </c>
      <c r="C47" s="816"/>
      <c r="D47" s="48">
        <f>0</f>
        <v>0</v>
      </c>
      <c r="E47" s="48">
        <f t="shared" si="0"/>
        <v>0</v>
      </c>
      <c r="F47" s="805" t="str">
        <f t="shared" si="1"/>
        <v/>
      </c>
    </row>
    <row r="48" spans="1:6" s="119" customFormat="1" x14ac:dyDescent="0.15">
      <c r="A48" s="118"/>
      <c r="B48" s="804" t="s">
        <v>84</v>
      </c>
      <c r="C48" s="815">
        <f>(((C44)+(C45))+(C46))+(C47)</f>
        <v>2900</v>
      </c>
      <c r="D48" s="815">
        <f>(((D44)+(D45))+(D46))+(D47)</f>
        <v>0</v>
      </c>
      <c r="E48" s="815">
        <f t="shared" si="0"/>
        <v>2900</v>
      </c>
      <c r="F48" s="807" t="str">
        <f t="shared" si="1"/>
        <v/>
      </c>
    </row>
    <row r="49" spans="1:6" s="119" customFormat="1" x14ac:dyDescent="0.15">
      <c r="A49" s="118"/>
      <c r="B49" s="804" t="s">
        <v>85</v>
      </c>
      <c r="C49" s="48">
        <v>3500</v>
      </c>
      <c r="D49" s="48">
        <f>3500</f>
        <v>3500</v>
      </c>
      <c r="E49" s="48">
        <f t="shared" si="0"/>
        <v>0</v>
      </c>
      <c r="F49" s="805">
        <f t="shared" si="1"/>
        <v>1</v>
      </c>
    </row>
    <row r="50" spans="1:6" s="119" customFormat="1" x14ac:dyDescent="0.15">
      <c r="A50" s="118"/>
      <c r="B50" s="804" t="s">
        <v>86</v>
      </c>
      <c r="C50" s="816"/>
      <c r="D50" s="48">
        <f>0</f>
        <v>0</v>
      </c>
      <c r="E50" s="48">
        <f t="shared" si="0"/>
        <v>0</v>
      </c>
      <c r="F50" s="805" t="str">
        <f t="shared" si="1"/>
        <v/>
      </c>
    </row>
    <row r="51" spans="1:6" s="689" customFormat="1" x14ac:dyDescent="0.15">
      <c r="A51" s="688"/>
      <c r="B51" s="809" t="s">
        <v>87</v>
      </c>
      <c r="C51" s="818">
        <f>(((((((((((((((((C16)+(C17))+(C18))+(C19))+(C20))+(C21))+(C27))+(C33))+(C34))+(C35))+(C36))+(C37))+(C38))+(C42))+(C43))+(C48))+(C49))+(C50)</f>
        <v>1084966.1499999999</v>
      </c>
      <c r="D51" s="818">
        <f>(((((((((((((((((D16)+(D17))+(D18))+(D19))+(D20))+(D21))+(D27))+(D33))+(D34))+(D35))+(D36))+(D37))+(D38))+(D42))+(D43))+(D48))+(D49))+(D50)</f>
        <v>1357365</v>
      </c>
      <c r="E51" s="818">
        <f t="shared" si="0"/>
        <v>-272398.85000000009</v>
      </c>
      <c r="F51" s="810">
        <f t="shared" si="1"/>
        <v>0.79931790638479694</v>
      </c>
    </row>
    <row r="52" spans="1:6" s="119" customFormat="1" x14ac:dyDescent="0.15">
      <c r="A52" s="118"/>
      <c r="B52" s="804"/>
      <c r="C52" s="48"/>
      <c r="D52" s="48"/>
      <c r="E52" s="48"/>
      <c r="F52" s="805"/>
    </row>
    <row r="53" spans="1:6" s="119" customFormat="1" x14ac:dyDescent="0.15">
      <c r="A53" s="118"/>
      <c r="B53" s="804"/>
      <c r="C53" s="48"/>
      <c r="D53" s="48"/>
      <c r="E53" s="48"/>
      <c r="F53" s="805"/>
    </row>
    <row r="54" spans="1:6" s="119" customFormat="1" x14ac:dyDescent="0.15">
      <c r="A54" s="118"/>
      <c r="B54" s="804" t="s">
        <v>88</v>
      </c>
      <c r="C54" s="816"/>
      <c r="D54" s="816"/>
      <c r="E54" s="816"/>
      <c r="F54" s="808"/>
    </row>
    <row r="55" spans="1:6" s="119" customFormat="1" x14ac:dyDescent="0.15">
      <c r="A55" s="118"/>
      <c r="B55" s="804" t="s">
        <v>89</v>
      </c>
      <c r="C55" s="816"/>
      <c r="D55" s="48">
        <f>0</f>
        <v>0</v>
      </c>
      <c r="E55" s="48">
        <f>(C55)-(D55)</f>
        <v>0</v>
      </c>
      <c r="F55" s="805" t="str">
        <f>IF(D55=0,"",(C55)/(D55))</f>
        <v/>
      </c>
    </row>
    <row r="56" spans="1:6" s="119" customFormat="1" x14ac:dyDescent="0.15">
      <c r="A56" s="118"/>
      <c r="B56" s="804" t="s">
        <v>90</v>
      </c>
      <c r="C56" s="48">
        <f>C55</f>
        <v>0</v>
      </c>
      <c r="D56" s="48">
        <f>D55</f>
        <v>0</v>
      </c>
      <c r="E56" s="48">
        <f>(C56)-(D56)</f>
        <v>0</v>
      </c>
      <c r="F56" s="805" t="str">
        <f>IF(D56=0,"",(C56)/(D56))</f>
        <v/>
      </c>
    </row>
    <row r="57" spans="1:6" s="119" customFormat="1" x14ac:dyDescent="0.15">
      <c r="A57" s="118"/>
      <c r="B57" s="804" t="s">
        <v>91</v>
      </c>
      <c r="C57" s="48">
        <f>(C51)-(C56)</f>
        <v>1084966.1499999999</v>
      </c>
      <c r="D57" s="48">
        <f>(D51)-(D56)</f>
        <v>1357365</v>
      </c>
      <c r="E57" s="48">
        <f>(C57)-(D57)</f>
        <v>-272398.85000000009</v>
      </c>
      <c r="F57" s="805">
        <f>IF(D57=0,"",(C57)/(D57))</f>
        <v>0.79931790638479694</v>
      </c>
    </row>
    <row r="58" spans="1:6" s="119" customFormat="1" x14ac:dyDescent="0.15">
      <c r="A58" s="118"/>
      <c r="B58" s="804"/>
      <c r="C58" s="48"/>
      <c r="D58" s="48"/>
      <c r="E58" s="48"/>
      <c r="F58" s="805"/>
    </row>
    <row r="59" spans="1:6" s="119" customFormat="1" x14ac:dyDescent="0.15">
      <c r="A59" s="118"/>
      <c r="B59" s="804"/>
      <c r="C59" s="48"/>
      <c r="D59" s="48"/>
      <c r="E59" s="48"/>
      <c r="F59" s="805"/>
    </row>
    <row r="60" spans="1:6" s="691" customFormat="1" ht="10.199999999999999" x14ac:dyDescent="0.2">
      <c r="A60" s="690"/>
      <c r="B60" s="802" t="s">
        <v>92</v>
      </c>
      <c r="C60" s="814"/>
      <c r="D60" s="814"/>
      <c r="E60" s="814"/>
      <c r="F60" s="803"/>
    </row>
    <row r="61" spans="1:6" s="119" customFormat="1" x14ac:dyDescent="0.15">
      <c r="A61" s="118"/>
      <c r="B61" s="804" t="s">
        <v>93</v>
      </c>
      <c r="C61" s="816"/>
      <c r="D61" s="48">
        <f>0</f>
        <v>0</v>
      </c>
      <c r="E61" s="48">
        <f t="shared" ref="E61:E124" si="2">(C61)-(D61)</f>
        <v>0</v>
      </c>
      <c r="F61" s="805" t="str">
        <f t="shared" ref="F61:F124" si="3">IF(D61=0,"",(C61)/(D61))</f>
        <v/>
      </c>
    </row>
    <row r="62" spans="1:6" s="119" customFormat="1" x14ac:dyDescent="0.15">
      <c r="A62" s="118"/>
      <c r="B62" s="804" t="s">
        <v>94</v>
      </c>
      <c r="C62" s="816"/>
      <c r="D62" s="48">
        <f>0</f>
        <v>0</v>
      </c>
      <c r="E62" s="48">
        <f t="shared" si="2"/>
        <v>0</v>
      </c>
      <c r="F62" s="805" t="str">
        <f t="shared" si="3"/>
        <v/>
      </c>
    </row>
    <row r="63" spans="1:6" s="119" customFormat="1" x14ac:dyDescent="0.15">
      <c r="A63" s="118"/>
      <c r="B63" s="804" t="s">
        <v>95</v>
      </c>
      <c r="C63" s="48">
        <v>1396.74</v>
      </c>
      <c r="D63" s="48">
        <f>3800</f>
        <v>3800</v>
      </c>
      <c r="E63" s="48">
        <f t="shared" si="2"/>
        <v>-2403.2600000000002</v>
      </c>
      <c r="F63" s="805">
        <f t="shared" si="3"/>
        <v>0.36756315789473687</v>
      </c>
    </row>
    <row r="64" spans="1:6" s="119" customFormat="1" x14ac:dyDescent="0.15">
      <c r="A64" s="118"/>
      <c r="B64" s="804" t="s">
        <v>96</v>
      </c>
      <c r="C64" s="48">
        <f>0</f>
        <v>0</v>
      </c>
      <c r="D64" s="48">
        <f>0</f>
        <v>0</v>
      </c>
      <c r="E64" s="48">
        <f t="shared" si="2"/>
        <v>0</v>
      </c>
      <c r="F64" s="805" t="str">
        <f t="shared" si="3"/>
        <v/>
      </c>
    </row>
    <row r="65" spans="1:6" s="119" customFormat="1" x14ac:dyDescent="0.15">
      <c r="A65" s="118"/>
      <c r="B65" s="804" t="s">
        <v>97</v>
      </c>
      <c r="C65" s="48">
        <f>0</f>
        <v>0</v>
      </c>
      <c r="D65" s="48">
        <f>8077</f>
        <v>8077</v>
      </c>
      <c r="E65" s="48">
        <f t="shared" si="2"/>
        <v>-8077</v>
      </c>
      <c r="F65" s="805">
        <f t="shared" si="3"/>
        <v>0</v>
      </c>
    </row>
    <row r="66" spans="1:6" s="119" customFormat="1" x14ac:dyDescent="0.15">
      <c r="A66" s="118"/>
      <c r="B66" s="804" t="s">
        <v>98</v>
      </c>
      <c r="C66" s="48">
        <v>20240</v>
      </c>
      <c r="D66" s="48">
        <f>35000</f>
        <v>35000</v>
      </c>
      <c r="E66" s="48">
        <f t="shared" si="2"/>
        <v>-14760</v>
      </c>
      <c r="F66" s="805">
        <f t="shared" si="3"/>
        <v>0.57828571428571429</v>
      </c>
    </row>
    <row r="67" spans="1:6" s="119" customFormat="1" x14ac:dyDescent="0.15">
      <c r="A67" s="118"/>
      <c r="B67" s="804" t="s">
        <v>99</v>
      </c>
      <c r="C67" s="48">
        <v>8743.1299999999992</v>
      </c>
      <c r="D67" s="48">
        <f>17280</f>
        <v>17280</v>
      </c>
      <c r="E67" s="48">
        <f t="shared" si="2"/>
        <v>-8536.8700000000008</v>
      </c>
      <c r="F67" s="805">
        <f t="shared" si="3"/>
        <v>0.50596817129629623</v>
      </c>
    </row>
    <row r="68" spans="1:6" s="119" customFormat="1" x14ac:dyDescent="0.15">
      <c r="A68" s="118"/>
      <c r="B68" s="804" t="s">
        <v>100</v>
      </c>
      <c r="C68" s="816"/>
      <c r="D68" s="48">
        <f>74520</f>
        <v>74520</v>
      </c>
      <c r="E68" s="48">
        <f t="shared" si="2"/>
        <v>-74520</v>
      </c>
      <c r="F68" s="805">
        <f t="shared" si="3"/>
        <v>0</v>
      </c>
    </row>
    <row r="69" spans="1:6" s="119" customFormat="1" x14ac:dyDescent="0.15">
      <c r="A69" s="118"/>
      <c r="B69" s="804" t="s">
        <v>101</v>
      </c>
      <c r="C69" s="48">
        <f>6774.51</f>
        <v>6774.51</v>
      </c>
      <c r="D69" s="48">
        <f>0</f>
        <v>0</v>
      </c>
      <c r="E69" s="48">
        <f t="shared" si="2"/>
        <v>6774.51</v>
      </c>
      <c r="F69" s="805" t="str">
        <f t="shared" si="3"/>
        <v/>
      </c>
    </row>
    <row r="70" spans="1:6" s="119" customFormat="1" x14ac:dyDescent="0.15">
      <c r="A70" s="118"/>
      <c r="B70" s="804" t="s">
        <v>102</v>
      </c>
      <c r="C70" s="48">
        <v>15272.17</v>
      </c>
      <c r="D70" s="48">
        <f>0</f>
        <v>0</v>
      </c>
      <c r="E70" s="48">
        <f t="shared" si="2"/>
        <v>15272.17</v>
      </c>
      <c r="F70" s="805" t="str">
        <f t="shared" si="3"/>
        <v/>
      </c>
    </row>
    <row r="71" spans="1:6" s="119" customFormat="1" x14ac:dyDescent="0.15">
      <c r="A71" s="118"/>
      <c r="B71" s="804" t="s">
        <v>103</v>
      </c>
      <c r="C71" s="48">
        <v>14585.62</v>
      </c>
      <c r="D71" s="48">
        <f>0</f>
        <v>0</v>
      </c>
      <c r="E71" s="48">
        <f t="shared" si="2"/>
        <v>14585.62</v>
      </c>
      <c r="F71" s="805" t="str">
        <f t="shared" si="3"/>
        <v/>
      </c>
    </row>
    <row r="72" spans="1:6" s="119" customFormat="1" x14ac:dyDescent="0.15">
      <c r="A72" s="118"/>
      <c r="B72" s="804" t="s">
        <v>104</v>
      </c>
      <c r="C72" s="48">
        <v>4358.1099999999997</v>
      </c>
      <c r="D72" s="48">
        <f>0</f>
        <v>0</v>
      </c>
      <c r="E72" s="48">
        <f t="shared" si="2"/>
        <v>4358.1099999999997</v>
      </c>
      <c r="F72" s="805" t="str">
        <f t="shared" si="3"/>
        <v/>
      </c>
    </row>
    <row r="73" spans="1:6" s="119" customFormat="1" x14ac:dyDescent="0.15">
      <c r="A73" s="118"/>
      <c r="B73" s="804" t="s">
        <v>105</v>
      </c>
      <c r="C73" s="48">
        <v>3553.8</v>
      </c>
      <c r="D73" s="48">
        <f>0</f>
        <v>0</v>
      </c>
      <c r="E73" s="48">
        <f t="shared" si="2"/>
        <v>3553.8</v>
      </c>
      <c r="F73" s="805" t="str">
        <f t="shared" si="3"/>
        <v/>
      </c>
    </row>
    <row r="74" spans="1:6" s="119" customFormat="1" x14ac:dyDescent="0.15">
      <c r="A74" s="118"/>
      <c r="B74" s="804" t="s">
        <v>106</v>
      </c>
      <c r="C74" s="48">
        <v>1531.88</v>
      </c>
      <c r="D74" s="48">
        <f>0</f>
        <v>0</v>
      </c>
      <c r="E74" s="48">
        <f t="shared" si="2"/>
        <v>1531.88</v>
      </c>
      <c r="F74" s="805" t="str">
        <f t="shared" si="3"/>
        <v/>
      </c>
    </row>
    <row r="75" spans="1:6" s="119" customFormat="1" x14ac:dyDescent="0.15">
      <c r="A75" s="118"/>
      <c r="B75" s="804" t="s">
        <v>107</v>
      </c>
      <c r="C75" s="816"/>
      <c r="D75" s="48">
        <f>0</f>
        <v>0</v>
      </c>
      <c r="E75" s="48">
        <f t="shared" si="2"/>
        <v>0</v>
      </c>
      <c r="F75" s="805" t="str">
        <f t="shared" si="3"/>
        <v/>
      </c>
    </row>
    <row r="76" spans="1:6" s="119" customFormat="1" x14ac:dyDescent="0.15">
      <c r="A76" s="118"/>
      <c r="B76" s="806" t="s">
        <v>692</v>
      </c>
      <c r="C76" s="815">
        <f>(((((((C68)+(C69))+(C70))+(C71))+(C72))+(C73))+(C74))+(C75)</f>
        <v>46076.090000000004</v>
      </c>
      <c r="D76" s="815">
        <f>(((((((D68)+(D69))+(D70))+(D71))+(D72))+(D73))+(D74))+(D75)</f>
        <v>74520</v>
      </c>
      <c r="E76" s="815">
        <f t="shared" si="2"/>
        <v>-28443.909999999996</v>
      </c>
      <c r="F76" s="807">
        <f t="shared" si="3"/>
        <v>0.61830501878690292</v>
      </c>
    </row>
    <row r="77" spans="1:6" s="119" customFormat="1" x14ac:dyDescent="0.15">
      <c r="A77" s="118"/>
      <c r="B77" s="804" t="s">
        <v>108</v>
      </c>
      <c r="C77" s="816"/>
      <c r="D77" s="48">
        <f>0</f>
        <v>0</v>
      </c>
      <c r="E77" s="48">
        <f t="shared" si="2"/>
        <v>0</v>
      </c>
      <c r="F77" s="805" t="str">
        <f t="shared" si="3"/>
        <v/>
      </c>
    </row>
    <row r="78" spans="1:6" s="119" customFormat="1" x14ac:dyDescent="0.15">
      <c r="A78" s="118"/>
      <c r="B78" s="804" t="s">
        <v>109</v>
      </c>
      <c r="C78" s="48">
        <f>-44424.96</f>
        <v>-44424.959999999999</v>
      </c>
      <c r="D78" s="48">
        <f>0</f>
        <v>0</v>
      </c>
      <c r="E78" s="48">
        <f t="shared" si="2"/>
        <v>-44424.959999999999</v>
      </c>
      <c r="F78" s="805" t="str">
        <f t="shared" si="3"/>
        <v/>
      </c>
    </row>
    <row r="79" spans="1:6" s="119" customFormat="1" x14ac:dyDescent="0.15">
      <c r="A79" s="118"/>
      <c r="B79" s="804" t="s">
        <v>110</v>
      </c>
      <c r="C79" s="48">
        <v>62601.67</v>
      </c>
      <c r="D79" s="48">
        <f>0</f>
        <v>0</v>
      </c>
      <c r="E79" s="48">
        <f t="shared" si="2"/>
        <v>62601.67</v>
      </c>
      <c r="F79" s="805" t="str">
        <f t="shared" si="3"/>
        <v/>
      </c>
    </row>
    <row r="80" spans="1:6" s="119" customFormat="1" x14ac:dyDescent="0.15">
      <c r="A80" s="118"/>
      <c r="B80" s="806" t="s">
        <v>111</v>
      </c>
      <c r="C80" s="815">
        <f>((C77)+(C78))+(C79)</f>
        <v>18176.71</v>
      </c>
      <c r="D80" s="815">
        <f>((D77)+(D78))+(D79)</f>
        <v>0</v>
      </c>
      <c r="E80" s="815">
        <f t="shared" si="2"/>
        <v>18176.71</v>
      </c>
      <c r="F80" s="807" t="str">
        <f t="shared" si="3"/>
        <v/>
      </c>
    </row>
    <row r="81" spans="1:6" s="119" customFormat="1" x14ac:dyDescent="0.15">
      <c r="A81" s="118"/>
      <c r="B81" s="804" t="s">
        <v>112</v>
      </c>
      <c r="C81" s="48">
        <v>8811.5400000000009</v>
      </c>
      <c r="D81" s="48">
        <f>18270</f>
        <v>18270</v>
      </c>
      <c r="E81" s="48">
        <f t="shared" si="2"/>
        <v>-9458.4599999999991</v>
      </c>
      <c r="F81" s="805">
        <f t="shared" si="3"/>
        <v>0.48229556650246308</v>
      </c>
    </row>
    <row r="82" spans="1:6" s="119" customFormat="1" x14ac:dyDescent="0.15">
      <c r="A82" s="118"/>
      <c r="B82" s="804" t="s">
        <v>113</v>
      </c>
      <c r="C82" s="816"/>
      <c r="D82" s="48">
        <f>0</f>
        <v>0</v>
      </c>
      <c r="E82" s="48">
        <f t="shared" si="2"/>
        <v>0</v>
      </c>
      <c r="F82" s="805" t="str">
        <f t="shared" si="3"/>
        <v/>
      </c>
    </row>
    <row r="83" spans="1:6" s="119" customFormat="1" x14ac:dyDescent="0.15">
      <c r="A83" s="118"/>
      <c r="B83" s="804" t="s">
        <v>693</v>
      </c>
      <c r="C83" s="48">
        <v>5981.23</v>
      </c>
      <c r="D83" s="48">
        <f>7000</f>
        <v>7000</v>
      </c>
      <c r="E83" s="48">
        <f t="shared" si="2"/>
        <v>-1018.7700000000004</v>
      </c>
      <c r="F83" s="805">
        <f t="shared" si="3"/>
        <v>0.85446142857142848</v>
      </c>
    </row>
    <row r="84" spans="1:6" s="119" customFormat="1" x14ac:dyDescent="0.15">
      <c r="A84" s="118"/>
      <c r="B84" s="804" t="s">
        <v>694</v>
      </c>
      <c r="C84" s="48">
        <f>206986.38</f>
        <v>206986.38</v>
      </c>
      <c r="D84" s="48">
        <f>220598</f>
        <v>220598</v>
      </c>
      <c r="E84" s="48">
        <f t="shared" si="2"/>
        <v>-13611.619999999995</v>
      </c>
      <c r="F84" s="805">
        <f t="shared" si="3"/>
        <v>0.9382967207318289</v>
      </c>
    </row>
    <row r="85" spans="1:6" s="119" customFormat="1" x14ac:dyDescent="0.15">
      <c r="A85" s="118"/>
      <c r="B85" s="804" t="s">
        <v>114</v>
      </c>
      <c r="C85" s="816"/>
      <c r="D85" s="48">
        <f>165610</f>
        <v>165610</v>
      </c>
      <c r="E85" s="48">
        <f t="shared" si="2"/>
        <v>-165610</v>
      </c>
      <c r="F85" s="805">
        <f t="shared" si="3"/>
        <v>0</v>
      </c>
    </row>
    <row r="86" spans="1:6" s="119" customFormat="1" x14ac:dyDescent="0.15">
      <c r="A86" s="118"/>
      <c r="B86" s="804" t="s">
        <v>115</v>
      </c>
      <c r="C86" s="48">
        <f>155956.35</f>
        <v>155956.35</v>
      </c>
      <c r="D86" s="48">
        <f>0</f>
        <v>0</v>
      </c>
      <c r="E86" s="48">
        <f t="shared" si="2"/>
        <v>155956.35</v>
      </c>
      <c r="F86" s="805" t="str">
        <f t="shared" si="3"/>
        <v/>
      </c>
    </row>
    <row r="87" spans="1:6" s="119" customFormat="1" x14ac:dyDescent="0.15">
      <c r="A87" s="118"/>
      <c r="B87" s="804" t="s">
        <v>116</v>
      </c>
      <c r="C87" s="48">
        <f>2233.73</f>
        <v>2233.73</v>
      </c>
      <c r="D87" s="48">
        <f>0</f>
        <v>0</v>
      </c>
      <c r="E87" s="48">
        <f t="shared" si="2"/>
        <v>2233.73</v>
      </c>
      <c r="F87" s="805" t="str">
        <f t="shared" si="3"/>
        <v/>
      </c>
    </row>
    <row r="88" spans="1:6" s="119" customFormat="1" x14ac:dyDescent="0.15">
      <c r="A88" s="118"/>
      <c r="B88" s="804" t="s">
        <v>117</v>
      </c>
      <c r="C88" s="816"/>
      <c r="D88" s="48">
        <f>0</f>
        <v>0</v>
      </c>
      <c r="E88" s="48">
        <f t="shared" si="2"/>
        <v>0</v>
      </c>
      <c r="F88" s="805" t="str">
        <f t="shared" si="3"/>
        <v/>
      </c>
    </row>
    <row r="89" spans="1:6" s="119" customFormat="1" x14ac:dyDescent="0.15">
      <c r="A89" s="118"/>
      <c r="B89" s="804" t="s">
        <v>118</v>
      </c>
      <c r="C89" s="48">
        <f>1247.25</f>
        <v>1247.25</v>
      </c>
      <c r="D89" s="48">
        <f>0</f>
        <v>0</v>
      </c>
      <c r="E89" s="48">
        <f t="shared" si="2"/>
        <v>1247.25</v>
      </c>
      <c r="F89" s="805" t="str">
        <f t="shared" si="3"/>
        <v/>
      </c>
    </row>
    <row r="90" spans="1:6" s="119" customFormat="1" x14ac:dyDescent="0.15">
      <c r="A90" s="118"/>
      <c r="B90" s="804" t="s">
        <v>119</v>
      </c>
      <c r="C90" s="48">
        <f>733.4</f>
        <v>733.4</v>
      </c>
      <c r="D90" s="48">
        <f>0</f>
        <v>0</v>
      </c>
      <c r="E90" s="48">
        <f t="shared" si="2"/>
        <v>733.4</v>
      </c>
      <c r="F90" s="805" t="str">
        <f t="shared" si="3"/>
        <v/>
      </c>
    </row>
    <row r="91" spans="1:6" s="119" customFormat="1" x14ac:dyDescent="0.15">
      <c r="A91" s="118"/>
      <c r="B91" s="806" t="s">
        <v>120</v>
      </c>
      <c r="C91" s="815">
        <f>(((((C85)+(C86))+(C87))+(C88))+(C89))+(C90)</f>
        <v>160170.73000000001</v>
      </c>
      <c r="D91" s="815">
        <f>(((((D85)+(D86))+(D87))+(D88))+(D89))+(D90)</f>
        <v>165610</v>
      </c>
      <c r="E91" s="815">
        <f t="shared" si="2"/>
        <v>-5439.2699999999895</v>
      </c>
      <c r="F91" s="807">
        <f t="shared" si="3"/>
        <v>0.96715614999094268</v>
      </c>
    </row>
    <row r="92" spans="1:6" s="119" customFormat="1" x14ac:dyDescent="0.15">
      <c r="A92" s="118"/>
      <c r="B92" s="804" t="s">
        <v>121</v>
      </c>
      <c r="C92" s="48">
        <f>2142.66</f>
        <v>2142.66</v>
      </c>
      <c r="D92" s="48">
        <f>3500</f>
        <v>3500</v>
      </c>
      <c r="E92" s="48">
        <f t="shared" si="2"/>
        <v>-1357.3400000000001</v>
      </c>
      <c r="F92" s="805">
        <f t="shared" si="3"/>
        <v>0.61218857142857142</v>
      </c>
    </row>
    <row r="93" spans="1:6" s="119" customFormat="1" x14ac:dyDescent="0.15">
      <c r="A93" s="118"/>
      <c r="B93" s="804" t="s">
        <v>122</v>
      </c>
      <c r="C93" s="48">
        <f>1128.43</f>
        <v>1128.43</v>
      </c>
      <c r="D93" s="48">
        <f>1400</f>
        <v>1400</v>
      </c>
      <c r="E93" s="48">
        <f t="shared" si="2"/>
        <v>-271.56999999999994</v>
      </c>
      <c r="F93" s="805">
        <f t="shared" si="3"/>
        <v>0.80602142857142867</v>
      </c>
    </row>
    <row r="94" spans="1:6" s="119" customFormat="1" x14ac:dyDescent="0.15">
      <c r="A94" s="118"/>
      <c r="B94" s="804" t="s">
        <v>123</v>
      </c>
      <c r="C94" s="48">
        <f>1204.71</f>
        <v>1204.71</v>
      </c>
      <c r="D94" s="48">
        <f>1400</f>
        <v>1400</v>
      </c>
      <c r="E94" s="48">
        <f t="shared" si="2"/>
        <v>-195.28999999999996</v>
      </c>
      <c r="F94" s="805">
        <f t="shared" si="3"/>
        <v>0.86050714285714291</v>
      </c>
    </row>
    <row r="95" spans="1:6" s="119" customFormat="1" x14ac:dyDescent="0.15">
      <c r="A95" s="118"/>
      <c r="B95" s="804" t="s">
        <v>124</v>
      </c>
      <c r="C95" s="48">
        <f>339.66</f>
        <v>339.66</v>
      </c>
      <c r="D95" s="48">
        <f>1400</f>
        <v>1400</v>
      </c>
      <c r="E95" s="48">
        <f t="shared" si="2"/>
        <v>-1060.3399999999999</v>
      </c>
      <c r="F95" s="805">
        <f t="shared" si="3"/>
        <v>0.24261428571428573</v>
      </c>
    </row>
    <row r="96" spans="1:6" s="119" customFormat="1" x14ac:dyDescent="0.15">
      <c r="A96" s="118"/>
      <c r="B96" s="804" t="s">
        <v>125</v>
      </c>
      <c r="C96" s="48">
        <f>1600</f>
        <v>1600</v>
      </c>
      <c r="D96" s="48">
        <f>1800</f>
        <v>1800</v>
      </c>
      <c r="E96" s="48">
        <f t="shared" si="2"/>
        <v>-200</v>
      </c>
      <c r="F96" s="805">
        <f t="shared" si="3"/>
        <v>0.88888888888888884</v>
      </c>
    </row>
    <row r="97" spans="1:6" s="119" customFormat="1" x14ac:dyDescent="0.15">
      <c r="A97" s="118"/>
      <c r="B97" s="804" t="s">
        <v>126</v>
      </c>
      <c r="C97" s="48">
        <f>810</f>
        <v>810</v>
      </c>
      <c r="D97" s="48">
        <f>810</f>
        <v>810</v>
      </c>
      <c r="E97" s="48">
        <f t="shared" si="2"/>
        <v>0</v>
      </c>
      <c r="F97" s="805">
        <f t="shared" si="3"/>
        <v>1</v>
      </c>
    </row>
    <row r="98" spans="1:6" s="119" customFormat="1" x14ac:dyDescent="0.15">
      <c r="A98" s="118"/>
      <c r="B98" s="804" t="s">
        <v>127</v>
      </c>
      <c r="C98" s="816"/>
      <c r="D98" s="48">
        <f>6666</f>
        <v>6666</v>
      </c>
      <c r="E98" s="48">
        <f t="shared" si="2"/>
        <v>-6666</v>
      </c>
      <c r="F98" s="805">
        <f t="shared" si="3"/>
        <v>0</v>
      </c>
    </row>
    <row r="99" spans="1:6" s="119" customFormat="1" x14ac:dyDescent="0.15">
      <c r="A99" s="118"/>
      <c r="B99" s="804" t="s">
        <v>128</v>
      </c>
      <c r="C99" s="816"/>
      <c r="D99" s="48">
        <f>20000</f>
        <v>20000</v>
      </c>
      <c r="E99" s="48">
        <f t="shared" si="2"/>
        <v>-20000</v>
      </c>
      <c r="F99" s="805">
        <f t="shared" si="3"/>
        <v>0</v>
      </c>
    </row>
    <row r="100" spans="1:6" s="119" customFormat="1" x14ac:dyDescent="0.15">
      <c r="A100" s="118"/>
      <c r="B100" s="804" t="s">
        <v>129</v>
      </c>
      <c r="C100" s="816"/>
      <c r="D100" s="48">
        <f>0</f>
        <v>0</v>
      </c>
      <c r="E100" s="48">
        <f t="shared" si="2"/>
        <v>0</v>
      </c>
      <c r="F100" s="805" t="str">
        <f t="shared" si="3"/>
        <v/>
      </c>
    </row>
    <row r="101" spans="1:6" s="119" customFormat="1" x14ac:dyDescent="0.15">
      <c r="A101" s="118"/>
      <c r="B101" s="804" t="s">
        <v>130</v>
      </c>
      <c r="C101" s="48">
        <v>17550</v>
      </c>
      <c r="D101" s="48">
        <f>23400</f>
        <v>23400</v>
      </c>
      <c r="E101" s="48">
        <f t="shared" si="2"/>
        <v>-5850</v>
      </c>
      <c r="F101" s="805">
        <f t="shared" si="3"/>
        <v>0.75</v>
      </c>
    </row>
    <row r="102" spans="1:6" s="119" customFormat="1" x14ac:dyDescent="0.15">
      <c r="A102" s="118"/>
      <c r="B102" s="804" t="s">
        <v>131</v>
      </c>
      <c r="C102" s="816"/>
      <c r="D102" s="48">
        <f>0</f>
        <v>0</v>
      </c>
      <c r="E102" s="48">
        <f t="shared" si="2"/>
        <v>0</v>
      </c>
      <c r="F102" s="805" t="str">
        <f t="shared" si="3"/>
        <v/>
      </c>
    </row>
    <row r="103" spans="1:6" s="119" customFormat="1" x14ac:dyDescent="0.15">
      <c r="A103" s="118"/>
      <c r="B103" s="804" t="s">
        <v>132</v>
      </c>
      <c r="C103" s="816"/>
      <c r="D103" s="48">
        <f>6510</f>
        <v>6510</v>
      </c>
      <c r="E103" s="48">
        <f t="shared" si="2"/>
        <v>-6510</v>
      </c>
      <c r="F103" s="805">
        <f t="shared" si="3"/>
        <v>0</v>
      </c>
    </row>
    <row r="104" spans="1:6" s="119" customFormat="1" x14ac:dyDescent="0.15">
      <c r="A104" s="118"/>
      <c r="B104" s="804" t="s">
        <v>133</v>
      </c>
      <c r="C104" s="816"/>
      <c r="D104" s="48">
        <f>18300</f>
        <v>18300</v>
      </c>
      <c r="E104" s="48">
        <f t="shared" si="2"/>
        <v>-18300</v>
      </c>
      <c r="F104" s="805">
        <f t="shared" si="3"/>
        <v>0</v>
      </c>
    </row>
    <row r="105" spans="1:6" s="119" customFormat="1" x14ac:dyDescent="0.15">
      <c r="A105" s="118"/>
      <c r="B105" s="804" t="s">
        <v>134</v>
      </c>
      <c r="C105" s="48">
        <f>521.71</f>
        <v>521.71</v>
      </c>
      <c r="D105" s="48">
        <f>0</f>
        <v>0</v>
      </c>
      <c r="E105" s="48">
        <f t="shared" si="2"/>
        <v>521.71</v>
      </c>
      <c r="F105" s="805" t="str">
        <f t="shared" si="3"/>
        <v/>
      </c>
    </row>
    <row r="106" spans="1:6" s="119" customFormat="1" x14ac:dyDescent="0.15">
      <c r="A106" s="118"/>
      <c r="B106" s="804" t="s">
        <v>135</v>
      </c>
      <c r="C106" s="48">
        <f>110</f>
        <v>110</v>
      </c>
      <c r="D106" s="48">
        <f>0</f>
        <v>0</v>
      </c>
      <c r="E106" s="48">
        <f t="shared" si="2"/>
        <v>110</v>
      </c>
      <c r="F106" s="805" t="str">
        <f t="shared" si="3"/>
        <v/>
      </c>
    </row>
    <row r="107" spans="1:6" s="119" customFormat="1" x14ac:dyDescent="0.15">
      <c r="A107" s="118"/>
      <c r="B107" s="804" t="s">
        <v>136</v>
      </c>
      <c r="C107" s="816"/>
      <c r="D107" s="48">
        <f>0</f>
        <v>0</v>
      </c>
      <c r="E107" s="48">
        <f t="shared" si="2"/>
        <v>0</v>
      </c>
      <c r="F107" s="805" t="str">
        <f t="shared" si="3"/>
        <v/>
      </c>
    </row>
    <row r="108" spans="1:6" s="119" customFormat="1" x14ac:dyDescent="0.15">
      <c r="A108" s="118"/>
      <c r="B108" s="804" t="s">
        <v>137</v>
      </c>
      <c r="C108" s="816"/>
      <c r="D108" s="48">
        <f>0</f>
        <v>0</v>
      </c>
      <c r="E108" s="48">
        <f t="shared" si="2"/>
        <v>0</v>
      </c>
      <c r="F108" s="805" t="str">
        <f t="shared" si="3"/>
        <v/>
      </c>
    </row>
    <row r="109" spans="1:6" s="119" customFormat="1" x14ac:dyDescent="0.15">
      <c r="A109" s="118"/>
      <c r="B109" s="806" t="s">
        <v>138</v>
      </c>
      <c r="C109" s="815">
        <f>((((C104)+(C105))+(C106))+(C107))+(C108)</f>
        <v>631.71</v>
      </c>
      <c r="D109" s="815">
        <f>((((D104)+(D105))+(D106))+(D107))+(D108)</f>
        <v>18300</v>
      </c>
      <c r="E109" s="815">
        <f t="shared" si="2"/>
        <v>-17668.29</v>
      </c>
      <c r="F109" s="807">
        <f t="shared" si="3"/>
        <v>3.4519672131147545E-2</v>
      </c>
    </row>
    <row r="110" spans="1:6" s="119" customFormat="1" x14ac:dyDescent="0.15">
      <c r="A110" s="118"/>
      <c r="B110" s="804" t="s">
        <v>139</v>
      </c>
      <c r="C110" s="48">
        <f>1124.1</f>
        <v>1124.0999999999999</v>
      </c>
      <c r="D110" s="48">
        <f>2500</f>
        <v>2500</v>
      </c>
      <c r="E110" s="48">
        <f t="shared" si="2"/>
        <v>-1375.9</v>
      </c>
      <c r="F110" s="805">
        <f t="shared" si="3"/>
        <v>0.44963999999999998</v>
      </c>
    </row>
    <row r="111" spans="1:6" s="119" customFormat="1" x14ac:dyDescent="0.15">
      <c r="A111" s="118"/>
      <c r="B111" s="804" t="s">
        <v>140</v>
      </c>
      <c r="C111" s="48">
        <v>14652</v>
      </c>
      <c r="D111" s="48">
        <f>35000</f>
        <v>35000</v>
      </c>
      <c r="E111" s="48">
        <f t="shared" si="2"/>
        <v>-20348</v>
      </c>
      <c r="F111" s="805">
        <f t="shared" si="3"/>
        <v>0.41862857142857141</v>
      </c>
    </row>
    <row r="112" spans="1:6" s="119" customFormat="1" x14ac:dyDescent="0.15">
      <c r="A112" s="118"/>
      <c r="B112" s="804" t="s">
        <v>141</v>
      </c>
      <c r="C112" s="48">
        <v>13190.2</v>
      </c>
      <c r="D112" s="48">
        <f>12500</f>
        <v>12500</v>
      </c>
      <c r="E112" s="48">
        <f t="shared" si="2"/>
        <v>690.20000000000073</v>
      </c>
      <c r="F112" s="805">
        <f t="shared" si="3"/>
        <v>1.0552160000000002</v>
      </c>
    </row>
    <row r="113" spans="1:6" s="119" customFormat="1" x14ac:dyDescent="0.15">
      <c r="A113" s="118"/>
      <c r="B113" s="804" t="s">
        <v>142</v>
      </c>
      <c r="C113" s="48">
        <v>36714.339999999997</v>
      </c>
      <c r="D113" s="48">
        <f>60000</f>
        <v>60000</v>
      </c>
      <c r="E113" s="48">
        <f t="shared" si="2"/>
        <v>-23285.660000000003</v>
      </c>
      <c r="F113" s="805">
        <f t="shared" si="3"/>
        <v>0.61190566666666657</v>
      </c>
    </row>
    <row r="114" spans="1:6" s="119" customFormat="1" x14ac:dyDescent="0.15">
      <c r="A114" s="118"/>
      <c r="B114" s="804" t="s">
        <v>143</v>
      </c>
      <c r="C114" s="816"/>
      <c r="D114" s="48">
        <f>1000</f>
        <v>1000</v>
      </c>
      <c r="E114" s="48">
        <f t="shared" si="2"/>
        <v>-1000</v>
      </c>
      <c r="F114" s="805">
        <f t="shared" si="3"/>
        <v>0</v>
      </c>
    </row>
    <row r="115" spans="1:6" s="119" customFormat="1" x14ac:dyDescent="0.15">
      <c r="A115" s="118"/>
      <c r="B115" s="804" t="s">
        <v>144</v>
      </c>
      <c r="C115" s="48">
        <v>17899</v>
      </c>
      <c r="D115" s="48">
        <f>30000</f>
        <v>30000</v>
      </c>
      <c r="E115" s="48">
        <f t="shared" si="2"/>
        <v>-12101</v>
      </c>
      <c r="F115" s="805">
        <f t="shared" si="3"/>
        <v>0.59663333333333335</v>
      </c>
    </row>
    <row r="116" spans="1:6" s="119" customFormat="1" x14ac:dyDescent="0.15">
      <c r="A116" s="118"/>
      <c r="B116" s="804" t="s">
        <v>145</v>
      </c>
      <c r="C116" s="48">
        <v>496.21</v>
      </c>
      <c r="D116" s="48">
        <f>996</f>
        <v>996</v>
      </c>
      <c r="E116" s="48">
        <f t="shared" si="2"/>
        <v>-499.79</v>
      </c>
      <c r="F116" s="805">
        <f t="shared" si="3"/>
        <v>0.49820281124497989</v>
      </c>
    </row>
    <row r="117" spans="1:6" s="119" customFormat="1" x14ac:dyDescent="0.15">
      <c r="A117" s="118"/>
      <c r="B117" s="804" t="s">
        <v>146</v>
      </c>
      <c r="C117" s="816"/>
      <c r="D117" s="48">
        <f>1780</f>
        <v>1780</v>
      </c>
      <c r="E117" s="48">
        <f t="shared" si="2"/>
        <v>-1780</v>
      </c>
      <c r="F117" s="805">
        <f t="shared" si="3"/>
        <v>0</v>
      </c>
    </row>
    <row r="118" spans="1:6" s="119" customFormat="1" x14ac:dyDescent="0.15">
      <c r="A118" s="118"/>
      <c r="B118" s="804" t="s">
        <v>147</v>
      </c>
      <c r="C118" s="816"/>
      <c r="D118" s="48">
        <f>4000</f>
        <v>4000</v>
      </c>
      <c r="E118" s="48">
        <f t="shared" si="2"/>
        <v>-4000</v>
      </c>
      <c r="F118" s="805">
        <f t="shared" si="3"/>
        <v>0</v>
      </c>
    </row>
    <row r="119" spans="1:6" s="119" customFormat="1" x14ac:dyDescent="0.15">
      <c r="A119" s="118"/>
      <c r="B119" s="804" t="s">
        <v>148</v>
      </c>
      <c r="C119" s="48">
        <f>80</f>
        <v>80</v>
      </c>
      <c r="D119" s="48">
        <f>0</f>
        <v>0</v>
      </c>
      <c r="E119" s="48">
        <f t="shared" si="2"/>
        <v>80</v>
      </c>
      <c r="F119" s="805" t="str">
        <f t="shared" si="3"/>
        <v/>
      </c>
    </row>
    <row r="120" spans="1:6" s="119" customFormat="1" x14ac:dyDescent="0.15">
      <c r="A120" s="118"/>
      <c r="B120" s="804" t="s">
        <v>149</v>
      </c>
      <c r="C120" s="48">
        <f>37.71</f>
        <v>37.71</v>
      </c>
      <c r="D120" s="48">
        <f>0</f>
        <v>0</v>
      </c>
      <c r="E120" s="48">
        <f t="shared" si="2"/>
        <v>37.71</v>
      </c>
      <c r="F120" s="805" t="str">
        <f t="shared" si="3"/>
        <v/>
      </c>
    </row>
    <row r="121" spans="1:6" s="119" customFormat="1" x14ac:dyDescent="0.15">
      <c r="A121" s="118"/>
      <c r="B121" s="804" t="s">
        <v>150</v>
      </c>
      <c r="C121" s="48">
        <f>255</f>
        <v>255</v>
      </c>
      <c r="D121" s="48">
        <f>0</f>
        <v>0</v>
      </c>
      <c r="E121" s="48">
        <f t="shared" si="2"/>
        <v>255</v>
      </c>
      <c r="F121" s="805" t="str">
        <f t="shared" si="3"/>
        <v/>
      </c>
    </row>
    <row r="122" spans="1:6" s="119" customFormat="1" x14ac:dyDescent="0.15">
      <c r="A122" s="118"/>
      <c r="B122" s="804" t="s">
        <v>151</v>
      </c>
      <c r="C122" s="816"/>
      <c r="D122" s="48">
        <f>13500</f>
        <v>13500</v>
      </c>
      <c r="E122" s="48">
        <f t="shared" si="2"/>
        <v>-13500</v>
      </c>
      <c r="F122" s="805">
        <f t="shared" si="3"/>
        <v>0</v>
      </c>
    </row>
    <row r="123" spans="1:6" s="119" customFormat="1" x14ac:dyDescent="0.15">
      <c r="A123" s="118"/>
      <c r="B123" s="804" t="s">
        <v>152</v>
      </c>
      <c r="C123" s="48">
        <v>13012.44</v>
      </c>
      <c r="D123" s="48">
        <f>0</f>
        <v>0</v>
      </c>
      <c r="E123" s="48">
        <f t="shared" si="2"/>
        <v>13012.44</v>
      </c>
      <c r="F123" s="805" t="str">
        <f t="shared" si="3"/>
        <v/>
      </c>
    </row>
    <row r="124" spans="1:6" s="119" customFormat="1" x14ac:dyDescent="0.15">
      <c r="A124" s="118"/>
      <c r="B124" s="804" t="s">
        <v>153</v>
      </c>
      <c r="C124" s="816"/>
      <c r="D124" s="48">
        <f>0</f>
        <v>0</v>
      </c>
      <c r="E124" s="48">
        <f t="shared" si="2"/>
        <v>0</v>
      </c>
      <c r="F124" s="805" t="str">
        <f t="shared" si="3"/>
        <v/>
      </c>
    </row>
    <row r="125" spans="1:6" s="119" customFormat="1" x14ac:dyDescent="0.15">
      <c r="A125" s="118"/>
      <c r="B125" s="804" t="s">
        <v>154</v>
      </c>
      <c r="C125" s="48">
        <v>-4859.4399999999996</v>
      </c>
      <c r="D125" s="48">
        <f>0</f>
        <v>0</v>
      </c>
      <c r="E125" s="48">
        <f t="shared" ref="E125:E188" si="4">(C125)-(D125)</f>
        <v>-4859.4399999999996</v>
      </c>
      <c r="F125" s="805" t="str">
        <f t="shared" ref="F125:F188" si="5">IF(D125=0,"",(C125)/(D125))</f>
        <v/>
      </c>
    </row>
    <row r="126" spans="1:6" s="119" customFormat="1" x14ac:dyDescent="0.15">
      <c r="A126" s="118"/>
      <c r="B126" s="804" t="s">
        <v>155</v>
      </c>
      <c r="C126" s="816"/>
      <c r="D126" s="48">
        <f>0</f>
        <v>0</v>
      </c>
      <c r="E126" s="48">
        <f t="shared" si="4"/>
        <v>0</v>
      </c>
      <c r="F126" s="805" t="str">
        <f t="shared" si="5"/>
        <v/>
      </c>
    </row>
    <row r="127" spans="1:6" s="119" customFormat="1" x14ac:dyDescent="0.15">
      <c r="A127" s="118"/>
      <c r="B127" s="806" t="s">
        <v>156</v>
      </c>
      <c r="C127" s="815">
        <f>((((C122)+(C123))+(C124))+(C125))+(C126)</f>
        <v>8153.0000000000009</v>
      </c>
      <c r="D127" s="815">
        <f>((((D122)+(D123))+(D124))+(D125))+(D126)</f>
        <v>13500</v>
      </c>
      <c r="E127" s="815">
        <f t="shared" si="4"/>
        <v>-5346.9999999999991</v>
      </c>
      <c r="F127" s="807">
        <f t="shared" si="5"/>
        <v>0.60392592592592598</v>
      </c>
    </row>
    <row r="128" spans="1:6" s="119" customFormat="1" x14ac:dyDescent="0.15">
      <c r="A128" s="118"/>
      <c r="B128" s="806"/>
      <c r="C128" s="815"/>
      <c r="D128" s="815"/>
      <c r="E128" s="815"/>
      <c r="F128" s="807"/>
    </row>
    <row r="129" spans="1:6" s="119" customFormat="1" x14ac:dyDescent="0.15">
      <c r="A129" s="118"/>
      <c r="B129" s="806"/>
      <c r="C129" s="815"/>
      <c r="D129" s="815"/>
      <c r="E129" s="815"/>
      <c r="F129" s="807"/>
    </row>
    <row r="130" spans="1:6" s="119" customFormat="1" x14ac:dyDescent="0.15">
      <c r="A130" s="118"/>
      <c r="B130" s="804" t="s">
        <v>157</v>
      </c>
      <c r="C130" s="816"/>
      <c r="D130" s="48">
        <f>0</f>
        <v>0</v>
      </c>
      <c r="E130" s="48">
        <f t="shared" si="4"/>
        <v>0</v>
      </c>
      <c r="F130" s="805" t="str">
        <f t="shared" si="5"/>
        <v/>
      </c>
    </row>
    <row r="131" spans="1:6" s="119" customFormat="1" x14ac:dyDescent="0.15">
      <c r="A131" s="118"/>
      <c r="B131" s="804" t="s">
        <v>702</v>
      </c>
      <c r="C131" s="48">
        <f>0</f>
        <v>0</v>
      </c>
      <c r="D131" s="48">
        <f>0</f>
        <v>0</v>
      </c>
      <c r="E131" s="48">
        <f t="shared" si="4"/>
        <v>0</v>
      </c>
      <c r="F131" s="805" t="str">
        <f t="shared" si="5"/>
        <v/>
      </c>
    </row>
    <row r="132" spans="1:6" s="119" customFormat="1" x14ac:dyDescent="0.15">
      <c r="A132" s="118"/>
      <c r="B132" s="804" t="s">
        <v>158</v>
      </c>
      <c r="C132" s="816"/>
      <c r="D132" s="48">
        <f>0</f>
        <v>0</v>
      </c>
      <c r="E132" s="48">
        <f t="shared" si="4"/>
        <v>0</v>
      </c>
      <c r="F132" s="805" t="str">
        <f t="shared" si="5"/>
        <v/>
      </c>
    </row>
    <row r="133" spans="1:6" s="119" customFormat="1" x14ac:dyDescent="0.15">
      <c r="A133" s="118"/>
      <c r="B133" s="804" t="s">
        <v>159</v>
      </c>
      <c r="C133" s="816"/>
      <c r="D133" s="816"/>
      <c r="E133" s="48">
        <f t="shared" si="4"/>
        <v>0</v>
      </c>
      <c r="F133" s="805" t="str">
        <f t="shared" si="5"/>
        <v/>
      </c>
    </row>
    <row r="134" spans="1:6" s="119" customFormat="1" x14ac:dyDescent="0.15">
      <c r="A134" s="118"/>
      <c r="B134" s="804" t="s">
        <v>160</v>
      </c>
      <c r="C134" s="48">
        <v>3423.08</v>
      </c>
      <c r="D134" s="48">
        <f>4600</f>
        <v>4600</v>
      </c>
      <c r="E134" s="48">
        <f t="shared" si="4"/>
        <v>-1176.92</v>
      </c>
      <c r="F134" s="805">
        <f t="shared" si="5"/>
        <v>0.74414782608695651</v>
      </c>
    </row>
    <row r="135" spans="1:6" s="119" customFormat="1" x14ac:dyDescent="0.15">
      <c r="A135" s="118"/>
      <c r="B135" s="804" t="s">
        <v>161</v>
      </c>
      <c r="C135" s="48">
        <v>40325.769999999997</v>
      </c>
      <c r="D135" s="48">
        <f>42000</f>
        <v>42000</v>
      </c>
      <c r="E135" s="48">
        <f t="shared" si="4"/>
        <v>-1674.2300000000032</v>
      </c>
      <c r="F135" s="805">
        <f t="shared" si="5"/>
        <v>0.96013738095238088</v>
      </c>
    </row>
    <row r="136" spans="1:6" s="119" customFormat="1" x14ac:dyDescent="0.15">
      <c r="A136" s="118"/>
      <c r="B136" s="804" t="s">
        <v>162</v>
      </c>
      <c r="C136" s="48">
        <f>((C133)+(C134))+(C135)</f>
        <v>43748.85</v>
      </c>
      <c r="D136" s="48">
        <f>((D133)+(D134))+(D135)</f>
        <v>46600</v>
      </c>
      <c r="E136" s="48">
        <f t="shared" si="4"/>
        <v>-2851.1500000000015</v>
      </c>
      <c r="F136" s="805">
        <f t="shared" si="5"/>
        <v>0.93881652360515022</v>
      </c>
    </row>
    <row r="137" spans="1:6" s="119" customFormat="1" x14ac:dyDescent="0.15">
      <c r="A137" s="118"/>
      <c r="B137" s="804"/>
      <c r="C137" s="48"/>
      <c r="D137" s="48"/>
      <c r="E137" s="48"/>
      <c r="F137" s="805"/>
    </row>
    <row r="138" spans="1:6" s="119" customFormat="1" x14ac:dyDescent="0.15">
      <c r="A138" s="118"/>
      <c r="B138" s="804"/>
      <c r="C138" s="48"/>
      <c r="D138" s="48"/>
      <c r="E138" s="48"/>
      <c r="F138" s="805"/>
    </row>
    <row r="139" spans="1:6" s="691" customFormat="1" ht="10.199999999999999" x14ac:dyDescent="0.2">
      <c r="A139" s="690"/>
      <c r="B139" s="802" t="s">
        <v>163</v>
      </c>
      <c r="C139" s="814"/>
      <c r="D139" s="814"/>
      <c r="E139" s="819">
        <f t="shared" si="4"/>
        <v>0</v>
      </c>
      <c r="F139" s="811" t="str">
        <f t="shared" si="5"/>
        <v/>
      </c>
    </row>
    <row r="140" spans="1:6" s="119" customFormat="1" x14ac:dyDescent="0.15">
      <c r="A140" s="118"/>
      <c r="B140" s="804" t="s">
        <v>164</v>
      </c>
      <c r="C140" s="816"/>
      <c r="D140" s="48">
        <f>0</f>
        <v>0</v>
      </c>
      <c r="E140" s="48">
        <f t="shared" si="4"/>
        <v>0</v>
      </c>
      <c r="F140" s="805" t="str">
        <f t="shared" si="5"/>
        <v/>
      </c>
    </row>
    <row r="141" spans="1:6" s="119" customFormat="1" x14ac:dyDescent="0.15">
      <c r="A141" s="118"/>
      <c r="B141" s="804" t="s">
        <v>165</v>
      </c>
      <c r="C141" s="816"/>
      <c r="D141" s="48">
        <f>2000</f>
        <v>2000</v>
      </c>
      <c r="E141" s="48">
        <f t="shared" si="4"/>
        <v>-2000</v>
      </c>
      <c r="F141" s="805">
        <f t="shared" si="5"/>
        <v>0</v>
      </c>
    </row>
    <row r="142" spans="1:6" s="119" customFormat="1" x14ac:dyDescent="0.15">
      <c r="A142" s="118"/>
      <c r="B142" s="804" t="s">
        <v>166</v>
      </c>
      <c r="C142" s="48">
        <v>25151.34</v>
      </c>
      <c r="D142" s="48">
        <f>26787</f>
        <v>26787</v>
      </c>
      <c r="E142" s="48">
        <f t="shared" si="4"/>
        <v>-1635.6599999999999</v>
      </c>
      <c r="F142" s="805">
        <f t="shared" si="5"/>
        <v>0.93893829096203385</v>
      </c>
    </row>
    <row r="143" spans="1:6" s="119" customFormat="1" x14ac:dyDescent="0.15">
      <c r="A143" s="118"/>
      <c r="B143" s="804" t="s">
        <v>167</v>
      </c>
      <c r="C143" s="816"/>
      <c r="D143" s="48">
        <f>0</f>
        <v>0</v>
      </c>
      <c r="E143" s="48">
        <f t="shared" si="4"/>
        <v>0</v>
      </c>
      <c r="F143" s="805" t="str">
        <f t="shared" si="5"/>
        <v/>
      </c>
    </row>
    <row r="144" spans="1:6" s="119" customFormat="1" x14ac:dyDescent="0.15">
      <c r="A144" s="118"/>
      <c r="B144" s="804" t="s">
        <v>168</v>
      </c>
      <c r="C144" s="48">
        <v>21100.31</v>
      </c>
      <c r="D144" s="48">
        <f>0</f>
        <v>0</v>
      </c>
      <c r="E144" s="48">
        <f t="shared" si="4"/>
        <v>21100.31</v>
      </c>
      <c r="F144" s="805" t="str">
        <f t="shared" si="5"/>
        <v/>
      </c>
    </row>
    <row r="145" spans="1:6" s="119" customFormat="1" x14ac:dyDescent="0.15">
      <c r="A145" s="118"/>
      <c r="B145" s="804" t="s">
        <v>169</v>
      </c>
      <c r="C145" s="48">
        <v>0</v>
      </c>
      <c r="D145" s="48">
        <f>0</f>
        <v>0</v>
      </c>
      <c r="E145" s="48">
        <f t="shared" si="4"/>
        <v>0</v>
      </c>
      <c r="F145" s="805" t="str">
        <f t="shared" si="5"/>
        <v/>
      </c>
    </row>
    <row r="146" spans="1:6" s="119" customFormat="1" x14ac:dyDescent="0.15">
      <c r="A146" s="118"/>
      <c r="B146" s="804" t="s">
        <v>170</v>
      </c>
      <c r="C146" s="48">
        <v>10849.48</v>
      </c>
      <c r="D146" s="48">
        <f>15046</f>
        <v>15046</v>
      </c>
      <c r="E146" s="48">
        <f t="shared" si="4"/>
        <v>-4196.5200000000004</v>
      </c>
      <c r="F146" s="805">
        <f t="shared" si="5"/>
        <v>0.7210873321813106</v>
      </c>
    </row>
    <row r="147" spans="1:6" s="829" customFormat="1" x14ac:dyDescent="0.15">
      <c r="A147" s="825"/>
      <c r="B147" s="826" t="s">
        <v>171</v>
      </c>
      <c r="C147" s="827">
        <v>-22250</v>
      </c>
      <c r="D147" s="827">
        <f>-19073</f>
        <v>-19073</v>
      </c>
      <c r="E147" s="827">
        <f t="shared" si="4"/>
        <v>-3177</v>
      </c>
      <c r="F147" s="828">
        <f t="shared" si="5"/>
        <v>1.1665705447491217</v>
      </c>
    </row>
    <row r="148" spans="1:6" s="119" customFormat="1" x14ac:dyDescent="0.15">
      <c r="A148" s="118"/>
      <c r="B148" s="804" t="s">
        <v>172</v>
      </c>
      <c r="C148" s="816"/>
      <c r="D148" s="48">
        <f>1000</f>
        <v>1000</v>
      </c>
      <c r="E148" s="48">
        <f t="shared" si="4"/>
        <v>-1000</v>
      </c>
      <c r="F148" s="805">
        <f t="shared" si="5"/>
        <v>0</v>
      </c>
    </row>
    <row r="149" spans="1:6" s="119" customFormat="1" x14ac:dyDescent="0.15">
      <c r="A149" s="118"/>
      <c r="B149" s="804" t="s">
        <v>173</v>
      </c>
      <c r="C149" s="816"/>
      <c r="D149" s="48">
        <f>500</f>
        <v>500</v>
      </c>
      <c r="E149" s="48">
        <f t="shared" si="4"/>
        <v>-500</v>
      </c>
      <c r="F149" s="805">
        <f t="shared" si="5"/>
        <v>0</v>
      </c>
    </row>
    <row r="150" spans="1:6" s="119" customFormat="1" x14ac:dyDescent="0.15">
      <c r="A150" s="118"/>
      <c r="B150" s="804" t="s">
        <v>174</v>
      </c>
      <c r="C150" s="816"/>
      <c r="D150" s="48">
        <f>0</f>
        <v>0</v>
      </c>
      <c r="E150" s="48">
        <f t="shared" si="4"/>
        <v>0</v>
      </c>
      <c r="F150" s="805" t="str">
        <f t="shared" si="5"/>
        <v/>
      </c>
    </row>
    <row r="151" spans="1:6" s="119" customFormat="1" x14ac:dyDescent="0.15">
      <c r="A151" s="118"/>
      <c r="B151" s="804" t="s">
        <v>175</v>
      </c>
      <c r="C151" s="48">
        <v>33.630000000000003</v>
      </c>
      <c r="D151" s="48">
        <f>750</f>
        <v>750</v>
      </c>
      <c r="E151" s="48">
        <f t="shared" si="4"/>
        <v>-716.37</v>
      </c>
      <c r="F151" s="805">
        <f t="shared" si="5"/>
        <v>4.4840000000000005E-2</v>
      </c>
    </row>
    <row r="152" spans="1:6" s="119" customFormat="1" x14ac:dyDescent="0.15">
      <c r="A152" s="118"/>
      <c r="B152" s="804" t="s">
        <v>176</v>
      </c>
      <c r="C152" s="816"/>
      <c r="D152" s="48">
        <f>0</f>
        <v>0</v>
      </c>
      <c r="E152" s="48">
        <f t="shared" si="4"/>
        <v>0</v>
      </c>
      <c r="F152" s="805" t="str">
        <f t="shared" si="5"/>
        <v/>
      </c>
    </row>
    <row r="153" spans="1:6" s="119" customFormat="1" x14ac:dyDescent="0.15">
      <c r="A153" s="118"/>
      <c r="B153" s="804" t="s">
        <v>177</v>
      </c>
      <c r="C153" s="48">
        <v>1109.79</v>
      </c>
      <c r="D153" s="48">
        <f>1100</f>
        <v>1100</v>
      </c>
      <c r="E153" s="48">
        <f t="shared" si="4"/>
        <v>9.7899999999999636</v>
      </c>
      <c r="F153" s="805">
        <f t="shared" si="5"/>
        <v>1.0088999999999999</v>
      </c>
    </row>
    <row r="154" spans="1:6" s="119" customFormat="1" x14ac:dyDescent="0.15">
      <c r="A154" s="118"/>
      <c r="B154" s="804" t="s">
        <v>178</v>
      </c>
      <c r="C154" s="48">
        <v>633.02</v>
      </c>
      <c r="D154" s="48">
        <f>1100</f>
        <v>1100</v>
      </c>
      <c r="E154" s="48">
        <f t="shared" si="4"/>
        <v>-466.98</v>
      </c>
      <c r="F154" s="805">
        <f t="shared" si="5"/>
        <v>0.57547272727272725</v>
      </c>
    </row>
    <row r="155" spans="1:6" s="119" customFormat="1" x14ac:dyDescent="0.15">
      <c r="A155" s="118"/>
      <c r="B155" s="804" t="s">
        <v>179</v>
      </c>
      <c r="C155" s="48">
        <v>536</v>
      </c>
      <c r="D155" s="48">
        <f>1100</f>
        <v>1100</v>
      </c>
      <c r="E155" s="48">
        <f t="shared" si="4"/>
        <v>-564</v>
      </c>
      <c r="F155" s="805">
        <f t="shared" si="5"/>
        <v>0.48727272727272725</v>
      </c>
    </row>
    <row r="156" spans="1:6" s="119" customFormat="1" x14ac:dyDescent="0.15">
      <c r="A156" s="118"/>
      <c r="B156" s="804" t="s">
        <v>180</v>
      </c>
      <c r="C156" s="816"/>
      <c r="D156" s="48">
        <f>100</f>
        <v>100</v>
      </c>
      <c r="E156" s="48">
        <f t="shared" si="4"/>
        <v>-100</v>
      </c>
      <c r="F156" s="805">
        <f t="shared" si="5"/>
        <v>0</v>
      </c>
    </row>
    <row r="157" spans="1:6" s="119" customFormat="1" x14ac:dyDescent="0.15">
      <c r="A157" s="118"/>
      <c r="B157" s="804" t="s">
        <v>181</v>
      </c>
      <c r="C157" s="48">
        <v>477.7</v>
      </c>
      <c r="D157" s="48">
        <f>900</f>
        <v>900</v>
      </c>
      <c r="E157" s="48">
        <f t="shared" si="4"/>
        <v>-422.3</v>
      </c>
      <c r="F157" s="805">
        <f t="shared" si="5"/>
        <v>0.53077777777777779</v>
      </c>
    </row>
    <row r="158" spans="1:6" s="119" customFormat="1" x14ac:dyDescent="0.15">
      <c r="A158" s="118"/>
      <c r="B158" s="804" t="s">
        <v>182</v>
      </c>
      <c r="C158" s="48">
        <v>10578.49</v>
      </c>
      <c r="D158" s="48">
        <f>16000</f>
        <v>16000</v>
      </c>
      <c r="E158" s="48">
        <f t="shared" si="4"/>
        <v>-5421.51</v>
      </c>
      <c r="F158" s="805">
        <f t="shared" si="5"/>
        <v>0.66115562500000002</v>
      </c>
    </row>
    <row r="159" spans="1:6" s="119" customFormat="1" x14ac:dyDescent="0.15">
      <c r="A159" s="118"/>
      <c r="B159" s="804" t="s">
        <v>183</v>
      </c>
      <c r="C159" s="816"/>
      <c r="D159" s="48">
        <f>1500</f>
        <v>1500</v>
      </c>
      <c r="E159" s="48">
        <f t="shared" si="4"/>
        <v>-1500</v>
      </c>
      <c r="F159" s="805">
        <f t="shared" si="5"/>
        <v>0</v>
      </c>
    </row>
    <row r="160" spans="1:6" s="119" customFormat="1" x14ac:dyDescent="0.15">
      <c r="A160" s="118"/>
      <c r="B160" s="804" t="s">
        <v>184</v>
      </c>
      <c r="C160" s="48">
        <v>1003.72</v>
      </c>
      <c r="D160" s="48">
        <f>4000</f>
        <v>4000</v>
      </c>
      <c r="E160" s="48">
        <f t="shared" si="4"/>
        <v>-2996.2799999999997</v>
      </c>
      <c r="F160" s="805">
        <f t="shared" si="5"/>
        <v>0.25092999999999999</v>
      </c>
    </row>
    <row r="161" spans="1:6" s="829" customFormat="1" x14ac:dyDescent="0.15">
      <c r="A161" s="825"/>
      <c r="B161" s="826" t="s">
        <v>185</v>
      </c>
      <c r="C161" s="827">
        <v>2117.29</v>
      </c>
      <c r="D161" s="827">
        <f>1000</f>
        <v>1000</v>
      </c>
      <c r="E161" s="827">
        <f t="shared" si="4"/>
        <v>1117.29</v>
      </c>
      <c r="F161" s="828">
        <f t="shared" si="5"/>
        <v>2.1172900000000001</v>
      </c>
    </row>
    <row r="162" spans="1:6" s="119" customFormat="1" x14ac:dyDescent="0.15">
      <c r="A162" s="118"/>
      <c r="B162" s="804" t="s">
        <v>186</v>
      </c>
      <c r="C162" s="816"/>
      <c r="D162" s="48">
        <f>500</f>
        <v>500</v>
      </c>
      <c r="E162" s="48">
        <f t="shared" si="4"/>
        <v>-500</v>
      </c>
      <c r="F162" s="805">
        <f t="shared" si="5"/>
        <v>0</v>
      </c>
    </row>
    <row r="163" spans="1:6" s="793" customFormat="1" x14ac:dyDescent="0.15">
      <c r="A163" s="789"/>
      <c r="B163" s="822" t="s">
        <v>187</v>
      </c>
      <c r="C163" s="823">
        <v>748.24</v>
      </c>
      <c r="D163" s="823">
        <f>200</f>
        <v>200</v>
      </c>
      <c r="E163" s="823">
        <f t="shared" si="4"/>
        <v>548.24</v>
      </c>
      <c r="F163" s="824">
        <f t="shared" si="5"/>
        <v>3.7412000000000001</v>
      </c>
    </row>
    <row r="164" spans="1:6" s="119" customFormat="1" x14ac:dyDescent="0.15">
      <c r="A164" s="118"/>
      <c r="B164" s="804" t="s">
        <v>188</v>
      </c>
      <c r="C164" s="816"/>
      <c r="D164" s="48">
        <f>250</f>
        <v>250</v>
      </c>
      <c r="E164" s="48">
        <f t="shared" si="4"/>
        <v>-250</v>
      </c>
      <c r="F164" s="805">
        <f t="shared" si="5"/>
        <v>0</v>
      </c>
    </row>
    <row r="165" spans="1:6" s="119" customFormat="1" x14ac:dyDescent="0.15">
      <c r="A165" s="118"/>
      <c r="B165" s="804" t="s">
        <v>189</v>
      </c>
      <c r="C165" s="816"/>
      <c r="D165" s="48">
        <f>0</f>
        <v>0</v>
      </c>
      <c r="E165" s="48">
        <f t="shared" si="4"/>
        <v>0</v>
      </c>
      <c r="F165" s="805" t="str">
        <f t="shared" si="5"/>
        <v/>
      </c>
    </row>
    <row r="166" spans="1:6" s="119" customFormat="1" x14ac:dyDescent="0.15">
      <c r="A166" s="118"/>
      <c r="B166" s="804" t="s">
        <v>190</v>
      </c>
      <c r="C166" s="48">
        <v>157.65</v>
      </c>
      <c r="D166" s="48">
        <f>2200</f>
        <v>2200</v>
      </c>
      <c r="E166" s="48">
        <f t="shared" si="4"/>
        <v>-2042.35</v>
      </c>
      <c r="F166" s="805">
        <f t="shared" si="5"/>
        <v>7.1659090909090908E-2</v>
      </c>
    </row>
    <row r="167" spans="1:6" s="119" customFormat="1" x14ac:dyDescent="0.15">
      <c r="A167" s="118"/>
      <c r="B167" s="804" t="s">
        <v>191</v>
      </c>
      <c r="C167" s="48">
        <v>1016.7</v>
      </c>
      <c r="D167" s="48">
        <f>1500</f>
        <v>1500</v>
      </c>
      <c r="E167" s="48">
        <f t="shared" si="4"/>
        <v>-483.29999999999995</v>
      </c>
      <c r="F167" s="805">
        <f t="shared" si="5"/>
        <v>0.67780000000000007</v>
      </c>
    </row>
    <row r="168" spans="1:6" s="119" customFormat="1" x14ac:dyDescent="0.15">
      <c r="A168" s="118"/>
      <c r="B168" s="804" t="s">
        <v>192</v>
      </c>
      <c r="C168" s="48">
        <v>100</v>
      </c>
      <c r="D168" s="48">
        <f>0</f>
        <v>0</v>
      </c>
      <c r="E168" s="48">
        <f t="shared" si="4"/>
        <v>100</v>
      </c>
      <c r="F168" s="805" t="str">
        <f t="shared" si="5"/>
        <v/>
      </c>
    </row>
    <row r="169" spans="1:6" s="119" customFormat="1" x14ac:dyDescent="0.15">
      <c r="A169" s="118"/>
      <c r="B169" s="804" t="s">
        <v>193</v>
      </c>
      <c r="C169" s="816">
        <v>85</v>
      </c>
      <c r="D169" s="48">
        <f>1000</f>
        <v>1000</v>
      </c>
      <c r="E169" s="48">
        <f t="shared" si="4"/>
        <v>-915</v>
      </c>
      <c r="F169" s="805">
        <f t="shared" si="5"/>
        <v>8.5000000000000006E-2</v>
      </c>
    </row>
    <row r="170" spans="1:6" s="119" customFormat="1" x14ac:dyDescent="0.15">
      <c r="A170" s="118"/>
      <c r="B170" s="804" t="s">
        <v>194</v>
      </c>
      <c r="C170" s="48">
        <v>-139.1</v>
      </c>
      <c r="D170" s="48">
        <f>2000</f>
        <v>2000</v>
      </c>
      <c r="E170" s="48">
        <f t="shared" si="4"/>
        <v>-2139.1</v>
      </c>
      <c r="F170" s="812">
        <f t="shared" si="5"/>
        <v>-6.9550000000000001E-2</v>
      </c>
    </row>
    <row r="171" spans="1:6" s="119" customFormat="1" x14ac:dyDescent="0.15">
      <c r="A171" s="118"/>
      <c r="B171" s="804" t="s">
        <v>195</v>
      </c>
      <c r="C171" s="816"/>
      <c r="D171" s="48">
        <f>0</f>
        <v>0</v>
      </c>
      <c r="E171" s="48">
        <f t="shared" si="4"/>
        <v>0</v>
      </c>
      <c r="F171" s="805" t="str">
        <f t="shared" si="5"/>
        <v/>
      </c>
    </row>
    <row r="172" spans="1:6" s="119" customFormat="1" x14ac:dyDescent="0.15">
      <c r="A172" s="118"/>
      <c r="B172" s="804" t="s">
        <v>196</v>
      </c>
      <c r="C172" s="816"/>
      <c r="D172" s="48">
        <f>500</f>
        <v>500</v>
      </c>
      <c r="E172" s="48">
        <f t="shared" si="4"/>
        <v>-500</v>
      </c>
      <c r="F172" s="805">
        <f t="shared" si="5"/>
        <v>0</v>
      </c>
    </row>
    <row r="173" spans="1:6" s="829" customFormat="1" x14ac:dyDescent="0.15">
      <c r="A173" s="825"/>
      <c r="B173" s="826" t="s">
        <v>197</v>
      </c>
      <c r="C173" s="827">
        <v>1322</v>
      </c>
      <c r="D173" s="827">
        <f>1200</f>
        <v>1200</v>
      </c>
      <c r="E173" s="827">
        <f t="shared" si="4"/>
        <v>122</v>
      </c>
      <c r="F173" s="828">
        <f t="shared" si="5"/>
        <v>1.1016666666666666</v>
      </c>
    </row>
    <row r="174" spans="1:6" s="119" customFormat="1" x14ac:dyDescent="0.15">
      <c r="A174" s="118"/>
      <c r="B174" s="804" t="s">
        <v>198</v>
      </c>
      <c r="C174" s="48">
        <v>4223.04</v>
      </c>
      <c r="D174" s="48">
        <f>9000</f>
        <v>9000</v>
      </c>
      <c r="E174" s="48">
        <f t="shared" si="4"/>
        <v>-4776.96</v>
      </c>
      <c r="F174" s="805">
        <f t="shared" si="5"/>
        <v>0.46922666666666668</v>
      </c>
    </row>
    <row r="175" spans="1:6" s="119" customFormat="1" x14ac:dyDescent="0.15">
      <c r="A175" s="118"/>
      <c r="B175" s="804" t="s">
        <v>199</v>
      </c>
      <c r="C175" s="816"/>
      <c r="D175" s="48">
        <f>0</f>
        <v>0</v>
      </c>
      <c r="E175" s="48">
        <f t="shared" si="4"/>
        <v>0</v>
      </c>
      <c r="F175" s="805" t="str">
        <f t="shared" si="5"/>
        <v/>
      </c>
    </row>
    <row r="176" spans="1:6" s="119" customFormat="1" x14ac:dyDescent="0.15">
      <c r="A176" s="118"/>
      <c r="B176" s="804" t="s">
        <v>200</v>
      </c>
      <c r="C176" s="816"/>
      <c r="D176" s="48">
        <f>0</f>
        <v>0</v>
      </c>
      <c r="E176" s="48">
        <f t="shared" si="4"/>
        <v>0</v>
      </c>
      <c r="F176" s="805" t="str">
        <f t="shared" si="5"/>
        <v/>
      </c>
    </row>
    <row r="177" spans="1:6" s="119" customFormat="1" x14ac:dyDescent="0.15">
      <c r="A177" s="118"/>
      <c r="B177" s="804" t="s">
        <v>201</v>
      </c>
      <c r="C177" s="48">
        <v>151</v>
      </c>
      <c r="D177" s="48">
        <f>175</f>
        <v>175</v>
      </c>
      <c r="E177" s="48">
        <f t="shared" si="4"/>
        <v>-24</v>
      </c>
      <c r="F177" s="805">
        <f t="shared" si="5"/>
        <v>0.86285714285714288</v>
      </c>
    </row>
    <row r="178" spans="1:6" s="119" customFormat="1" x14ac:dyDescent="0.15">
      <c r="A178" s="118"/>
      <c r="B178" s="804" t="s">
        <v>202</v>
      </c>
      <c r="C178" s="816"/>
      <c r="D178" s="48">
        <f>0</f>
        <v>0</v>
      </c>
      <c r="E178" s="48">
        <f t="shared" si="4"/>
        <v>0</v>
      </c>
      <c r="F178" s="805" t="str">
        <f t="shared" si="5"/>
        <v/>
      </c>
    </row>
    <row r="179" spans="1:6" s="119" customFormat="1" x14ac:dyDescent="0.15">
      <c r="A179" s="118"/>
      <c r="B179" s="804" t="s">
        <v>203</v>
      </c>
      <c r="C179" s="816"/>
      <c r="D179" s="48">
        <f>100</f>
        <v>100</v>
      </c>
      <c r="E179" s="48">
        <f t="shared" si="4"/>
        <v>-100</v>
      </c>
      <c r="F179" s="805">
        <f t="shared" si="5"/>
        <v>0</v>
      </c>
    </row>
    <row r="180" spans="1:6" s="119" customFormat="1" x14ac:dyDescent="0.15">
      <c r="A180" s="118"/>
      <c r="B180" s="804" t="s">
        <v>204</v>
      </c>
      <c r="C180" s="48">
        <v>11049.69</v>
      </c>
      <c r="D180" s="48">
        <f>12000</f>
        <v>12000</v>
      </c>
      <c r="E180" s="48">
        <f t="shared" si="4"/>
        <v>-950.30999999999949</v>
      </c>
      <c r="F180" s="805">
        <f t="shared" si="5"/>
        <v>0.9208075</v>
      </c>
    </row>
    <row r="181" spans="1:6" s="829" customFormat="1" x14ac:dyDescent="0.15">
      <c r="A181" s="825"/>
      <c r="B181" s="826" t="s">
        <v>205</v>
      </c>
      <c r="C181" s="827">
        <v>3249.12</v>
      </c>
      <c r="D181" s="827">
        <f>2500</f>
        <v>2500</v>
      </c>
      <c r="E181" s="827">
        <f t="shared" si="4"/>
        <v>749.11999999999989</v>
      </c>
      <c r="F181" s="828">
        <f t="shared" si="5"/>
        <v>1.2996479999999999</v>
      </c>
    </row>
    <row r="182" spans="1:6" s="119" customFormat="1" x14ac:dyDescent="0.15">
      <c r="A182" s="118"/>
      <c r="B182" s="804" t="s">
        <v>206</v>
      </c>
      <c r="C182" s="816"/>
      <c r="D182" s="48">
        <f>0</f>
        <v>0</v>
      </c>
      <c r="E182" s="48">
        <f t="shared" si="4"/>
        <v>0</v>
      </c>
      <c r="F182" s="805" t="str">
        <f t="shared" si="5"/>
        <v/>
      </c>
    </row>
    <row r="183" spans="1:6" s="119" customFormat="1" x14ac:dyDescent="0.15">
      <c r="A183" s="118"/>
      <c r="B183" s="804" t="s">
        <v>207</v>
      </c>
      <c r="C183" s="48">
        <v>69.650000000000006</v>
      </c>
      <c r="D183" s="48">
        <f>4000</f>
        <v>4000</v>
      </c>
      <c r="E183" s="48">
        <f t="shared" si="4"/>
        <v>-3930.35</v>
      </c>
      <c r="F183" s="805">
        <f t="shared" si="5"/>
        <v>1.7412500000000001E-2</v>
      </c>
    </row>
    <row r="184" spans="1:6" s="119" customFormat="1" x14ac:dyDescent="0.15">
      <c r="A184" s="118"/>
      <c r="B184" s="804" t="s">
        <v>208</v>
      </c>
      <c r="C184" s="816"/>
      <c r="D184" s="48">
        <f>2000</f>
        <v>2000</v>
      </c>
      <c r="E184" s="48">
        <f t="shared" si="4"/>
        <v>-2000</v>
      </c>
      <c r="F184" s="805">
        <f t="shared" si="5"/>
        <v>0</v>
      </c>
    </row>
    <row r="185" spans="1:6" s="119" customFormat="1" x14ac:dyDescent="0.15">
      <c r="A185" s="118"/>
      <c r="B185" s="804" t="s">
        <v>209</v>
      </c>
      <c r="C185" s="816"/>
      <c r="D185" s="48">
        <f>2000</f>
        <v>2000</v>
      </c>
      <c r="E185" s="48">
        <f t="shared" si="4"/>
        <v>-2000</v>
      </c>
      <c r="F185" s="805">
        <f t="shared" si="5"/>
        <v>0</v>
      </c>
    </row>
    <row r="186" spans="1:6" s="119" customFormat="1" x14ac:dyDescent="0.15">
      <c r="A186" s="118"/>
      <c r="B186" s="804" t="s">
        <v>210</v>
      </c>
      <c r="C186" s="48">
        <v>-204.23</v>
      </c>
      <c r="D186" s="48">
        <f>250</f>
        <v>250</v>
      </c>
      <c r="E186" s="48">
        <f t="shared" si="4"/>
        <v>-454.23</v>
      </c>
      <c r="F186" s="812">
        <f t="shared" si="5"/>
        <v>-0.81691999999999998</v>
      </c>
    </row>
    <row r="187" spans="1:6" s="119" customFormat="1" x14ac:dyDescent="0.15">
      <c r="A187" s="118"/>
      <c r="B187" s="804" t="s">
        <v>211</v>
      </c>
      <c r="C187" s="816">
        <v>720</v>
      </c>
      <c r="D187" s="48">
        <f>1200</f>
        <v>1200</v>
      </c>
      <c r="E187" s="48">
        <f t="shared" si="4"/>
        <v>-480</v>
      </c>
      <c r="F187" s="805">
        <f t="shared" si="5"/>
        <v>0.6</v>
      </c>
    </row>
    <row r="188" spans="1:6" s="119" customFormat="1" x14ac:dyDescent="0.15">
      <c r="A188" s="118"/>
      <c r="B188" s="804" t="s">
        <v>212</v>
      </c>
      <c r="C188" s="48">
        <v>2712.15</v>
      </c>
      <c r="D188" s="48">
        <f>-1500</f>
        <v>-1500</v>
      </c>
      <c r="E188" s="48">
        <f t="shared" si="4"/>
        <v>4212.1499999999996</v>
      </c>
      <c r="F188" s="812">
        <f t="shared" si="5"/>
        <v>-1.8081</v>
      </c>
    </row>
    <row r="189" spans="1:6" s="119" customFormat="1" x14ac:dyDescent="0.15">
      <c r="A189" s="118"/>
      <c r="B189" s="804" t="s">
        <v>213</v>
      </c>
      <c r="C189" s="816"/>
      <c r="D189" s="48">
        <f>0</f>
        <v>0</v>
      </c>
      <c r="E189" s="48">
        <f t="shared" ref="E189:E247" si="6">(C189)-(D189)</f>
        <v>0</v>
      </c>
      <c r="F189" s="805" t="str">
        <f t="shared" ref="F189:F247" si="7">IF(D189=0,"",(C189)/(D189))</f>
        <v/>
      </c>
    </row>
    <row r="190" spans="1:6" s="829" customFormat="1" x14ac:dyDescent="0.15">
      <c r="A190" s="825"/>
      <c r="B190" s="826" t="s">
        <v>214</v>
      </c>
      <c r="C190" s="827">
        <v>1930.83</v>
      </c>
      <c r="D190" s="827">
        <f>1500</f>
        <v>1500</v>
      </c>
      <c r="E190" s="827">
        <f t="shared" si="6"/>
        <v>430.82999999999993</v>
      </c>
      <c r="F190" s="828">
        <f t="shared" si="7"/>
        <v>1.28722</v>
      </c>
    </row>
    <row r="191" spans="1:6" s="119" customFormat="1" x14ac:dyDescent="0.15">
      <c r="A191" s="118"/>
      <c r="B191" s="804" t="s">
        <v>215</v>
      </c>
      <c r="C191" s="48">
        <v>1555.22</v>
      </c>
      <c r="D191" s="48">
        <f>2200</f>
        <v>2200</v>
      </c>
      <c r="E191" s="48">
        <f t="shared" si="6"/>
        <v>-644.78</v>
      </c>
      <c r="F191" s="805">
        <f t="shared" si="7"/>
        <v>0.70691818181818178</v>
      </c>
    </row>
    <row r="192" spans="1:6" s="119" customFormat="1" x14ac:dyDescent="0.15">
      <c r="A192" s="118"/>
      <c r="B192" s="804" t="s">
        <v>216</v>
      </c>
      <c r="C192" s="816"/>
      <c r="D192" s="48">
        <f>0</f>
        <v>0</v>
      </c>
      <c r="E192" s="48">
        <f t="shared" si="6"/>
        <v>0</v>
      </c>
      <c r="F192" s="805" t="str">
        <f t="shared" si="7"/>
        <v/>
      </c>
    </row>
    <row r="193" spans="1:6" s="119" customFormat="1" x14ac:dyDescent="0.15">
      <c r="A193" s="118"/>
      <c r="B193" s="804" t="s">
        <v>217</v>
      </c>
      <c r="C193" s="816"/>
      <c r="D193" s="48">
        <f>200</f>
        <v>200</v>
      </c>
      <c r="E193" s="48">
        <f t="shared" si="6"/>
        <v>-200</v>
      </c>
      <c r="F193" s="805">
        <f t="shared" si="7"/>
        <v>0</v>
      </c>
    </row>
    <row r="194" spans="1:6" s="119" customFormat="1" x14ac:dyDescent="0.15">
      <c r="A194" s="118"/>
      <c r="B194" s="804" t="s">
        <v>218</v>
      </c>
      <c r="C194" s="48">
        <v>0</v>
      </c>
      <c r="D194" s="48">
        <f>0</f>
        <v>0</v>
      </c>
      <c r="E194" s="48">
        <f t="shared" si="6"/>
        <v>0</v>
      </c>
      <c r="F194" s="805" t="str">
        <f t="shared" si="7"/>
        <v/>
      </c>
    </row>
    <row r="195" spans="1:6" s="119" customFormat="1" x14ac:dyDescent="0.15">
      <c r="A195" s="118"/>
      <c r="B195" s="804" t="s">
        <v>219</v>
      </c>
      <c r="C195" s="48">
        <v>13759.05</v>
      </c>
      <c r="D195" s="48">
        <f>0</f>
        <v>0</v>
      </c>
      <c r="E195" s="48">
        <f t="shared" si="6"/>
        <v>13759.05</v>
      </c>
      <c r="F195" s="805" t="str">
        <f t="shared" si="7"/>
        <v/>
      </c>
    </row>
    <row r="196" spans="1:6" s="119" customFormat="1" x14ac:dyDescent="0.15">
      <c r="A196" s="118"/>
      <c r="B196" s="804" t="s">
        <v>220</v>
      </c>
      <c r="C196" s="48">
        <v>884.45</v>
      </c>
      <c r="D196" s="48">
        <f>1000</f>
        <v>1000</v>
      </c>
      <c r="E196" s="48">
        <f t="shared" si="6"/>
        <v>-115.54999999999995</v>
      </c>
      <c r="F196" s="805">
        <f t="shared" si="7"/>
        <v>0.88445000000000007</v>
      </c>
    </row>
    <row r="197" spans="1:6" s="119" customFormat="1" x14ac:dyDescent="0.15">
      <c r="A197" s="118"/>
      <c r="B197" s="804" t="s">
        <v>221</v>
      </c>
      <c r="C197" s="48">
        <v>1057.29</v>
      </c>
      <c r="D197" s="48">
        <f>1000</f>
        <v>1000</v>
      </c>
      <c r="E197" s="48">
        <f t="shared" si="6"/>
        <v>57.289999999999964</v>
      </c>
      <c r="F197" s="805">
        <f t="shared" si="7"/>
        <v>1.0572900000000001</v>
      </c>
    </row>
    <row r="198" spans="1:6" s="119" customFormat="1" x14ac:dyDescent="0.15">
      <c r="A198" s="118"/>
      <c r="B198" s="804" t="s">
        <v>222</v>
      </c>
      <c r="C198" s="816"/>
      <c r="D198" s="48">
        <f>0</f>
        <v>0</v>
      </c>
      <c r="E198" s="48">
        <f t="shared" si="6"/>
        <v>0</v>
      </c>
      <c r="F198" s="805" t="str">
        <f t="shared" si="7"/>
        <v/>
      </c>
    </row>
    <row r="199" spans="1:6" s="119" customFormat="1" x14ac:dyDescent="0.15">
      <c r="A199" s="118"/>
      <c r="B199" s="804" t="s">
        <v>223</v>
      </c>
      <c r="C199" s="48">
        <v>79.599999999999994</v>
      </c>
      <c r="D199" s="48">
        <f>100</f>
        <v>100</v>
      </c>
      <c r="E199" s="48">
        <f t="shared" si="6"/>
        <v>-20.400000000000006</v>
      </c>
      <c r="F199" s="805">
        <f t="shared" si="7"/>
        <v>0.79599999999999993</v>
      </c>
    </row>
    <row r="200" spans="1:6" s="119" customFormat="1" x14ac:dyDescent="0.15">
      <c r="A200" s="118"/>
      <c r="B200" s="804" t="s">
        <v>224</v>
      </c>
      <c r="C200" s="816"/>
      <c r="D200" s="48">
        <f>500</f>
        <v>500</v>
      </c>
      <c r="E200" s="48">
        <f t="shared" si="6"/>
        <v>-500</v>
      </c>
      <c r="F200" s="805">
        <f t="shared" si="7"/>
        <v>0</v>
      </c>
    </row>
    <row r="201" spans="1:6" s="119" customFormat="1" x14ac:dyDescent="0.15">
      <c r="A201" s="118"/>
      <c r="B201" s="804" t="s">
        <v>225</v>
      </c>
      <c r="C201" s="48">
        <v>0</v>
      </c>
      <c r="D201" s="48">
        <f>250</f>
        <v>250</v>
      </c>
      <c r="E201" s="48">
        <f t="shared" si="6"/>
        <v>-250</v>
      </c>
      <c r="F201" s="805">
        <f t="shared" si="7"/>
        <v>0</v>
      </c>
    </row>
    <row r="202" spans="1:6" s="119" customFormat="1" x14ac:dyDescent="0.15">
      <c r="A202" s="118"/>
      <c r="B202" s="804" t="s">
        <v>226</v>
      </c>
      <c r="C202" s="48">
        <v>2571.44</v>
      </c>
      <c r="D202" s="48">
        <f>5000</f>
        <v>5000</v>
      </c>
      <c r="E202" s="48">
        <f t="shared" si="6"/>
        <v>-2428.56</v>
      </c>
      <c r="F202" s="805">
        <f t="shared" si="7"/>
        <v>0.51428799999999997</v>
      </c>
    </row>
    <row r="203" spans="1:6" s="119" customFormat="1" x14ac:dyDescent="0.15">
      <c r="A203" s="118"/>
      <c r="B203" s="804" t="s">
        <v>227</v>
      </c>
      <c r="C203" s="48">
        <v>500</v>
      </c>
      <c r="D203" s="48">
        <f>500</f>
        <v>500</v>
      </c>
      <c r="E203" s="48">
        <f t="shared" si="6"/>
        <v>0</v>
      </c>
      <c r="F203" s="805">
        <f t="shared" si="7"/>
        <v>1</v>
      </c>
    </row>
    <row r="204" spans="1:6" s="689" customFormat="1" x14ac:dyDescent="0.15">
      <c r="A204" s="688"/>
      <c r="B204" s="809" t="s">
        <v>228</v>
      </c>
      <c r="C204" s="818">
        <f>((((((((((((((((((((((((((((((((((((((((((((((((((((((((((((((((C139)+(C140))+(C141))+(C142))+(C143))+(C144))+(C145))+(C146))+(C147))+(C148))+(C149))+(C150))+(C151))+(C152))+(C153))+(C154))+(C155))+(C156))+(C157))+(C158))+(C159))+(C160))+(C161))+(C162))+(C163))+(C164))+(C165))+(C166))+(C167))+(C168))+(C169))+(C170))+(C171))+(C172))+(C173))+(C174))+(C175))+(C176))+(C177))+(C178))+(C179))+(C180))+(C181))+(C182))+(C183))+(C184))+(C185))+(C186))+(C187))+(C188))+(C189))+(C190))+(C191))+(C192))+(C193))+(C194))+(C195))+(C196))+(C197))+(C198))+(C199))+(C200))+(C201))+(C202))+(C203)</f>
        <v>98939.559999999983</v>
      </c>
      <c r="D204" s="818">
        <f>((((((((((((((((((((((((((((((((((((((((((((((((((((((((((((((((D139)+(D140))+(D141))+(D142))+(D143))+(D144))+(D145))+(D146))+(D147))+(D148))+(D149))+(D150))+(D151))+(D152))+(D153))+(D154))+(D155))+(D156))+(D157))+(D158))+(D159))+(D160))+(D161))+(D162))+(D163))+(D164))+(D165))+(D166))+(D167))+(D168))+(D169))+(D170))+(D171))+(D172))+(D173))+(D174))+(D175))+(D176))+(D177))+(D178))+(D179))+(D180))+(D181))+(D182))+(D183))+(D184))+(D185))+(D186))+(D187))+(D188))+(D189))+(D190))+(D191))+(D192))+(D193))+(D194))+(D195))+(D196))+(D197))+(D198))+(D199))+(D200))+(D201))+(D202))+(D203)</f>
        <v>107135</v>
      </c>
      <c r="E204" s="818">
        <f t="shared" si="6"/>
        <v>-8195.4400000000169</v>
      </c>
      <c r="F204" s="810">
        <f t="shared" si="7"/>
        <v>0.92350361693190819</v>
      </c>
    </row>
    <row r="205" spans="1:6" s="119" customFormat="1" x14ac:dyDescent="0.15">
      <c r="A205" s="118"/>
      <c r="B205" s="806"/>
      <c r="C205" s="815"/>
      <c r="D205" s="815"/>
      <c r="E205" s="815"/>
      <c r="F205" s="807"/>
    </row>
    <row r="206" spans="1:6" s="119" customFormat="1" x14ac:dyDescent="0.15">
      <c r="A206" s="118"/>
      <c r="B206" s="806"/>
      <c r="C206" s="815"/>
      <c r="D206" s="815"/>
      <c r="E206" s="815"/>
      <c r="F206" s="807"/>
    </row>
    <row r="207" spans="1:6" s="691" customFormat="1" ht="10.199999999999999" x14ac:dyDescent="0.2">
      <c r="A207" s="690"/>
      <c r="B207" s="802" t="s">
        <v>229</v>
      </c>
      <c r="C207" s="814"/>
      <c r="D207" s="814"/>
      <c r="E207" s="819">
        <f t="shared" si="6"/>
        <v>0</v>
      </c>
      <c r="F207" s="811" t="str">
        <f t="shared" si="7"/>
        <v/>
      </c>
    </row>
    <row r="208" spans="1:6" s="119" customFormat="1" x14ac:dyDescent="0.15">
      <c r="A208" s="118"/>
      <c r="B208" s="804" t="s">
        <v>230</v>
      </c>
      <c r="C208" s="816"/>
      <c r="D208" s="816"/>
      <c r="E208" s="48">
        <f t="shared" si="6"/>
        <v>0</v>
      </c>
      <c r="F208" s="805" t="str">
        <f t="shared" si="7"/>
        <v/>
      </c>
    </row>
    <row r="209" spans="1:6" s="119" customFormat="1" x14ac:dyDescent="0.15">
      <c r="A209" s="118"/>
      <c r="B209" s="804" t="s">
        <v>231</v>
      </c>
      <c r="C209" s="48">
        <f>-21823.86</f>
        <v>-21823.86</v>
      </c>
      <c r="D209" s="48">
        <f>-23324</f>
        <v>-23324</v>
      </c>
      <c r="E209" s="48">
        <f t="shared" si="6"/>
        <v>1500.1399999999994</v>
      </c>
      <c r="F209" s="805">
        <f t="shared" si="7"/>
        <v>0.93568255873778083</v>
      </c>
    </row>
    <row r="210" spans="1:6" s="119" customFormat="1" x14ac:dyDescent="0.15">
      <c r="A210" s="118"/>
      <c r="B210" s="804" t="s">
        <v>232</v>
      </c>
      <c r="C210" s="48">
        <f>-1115.6</f>
        <v>-1115.5999999999999</v>
      </c>
      <c r="D210" s="48">
        <f>0</f>
        <v>0</v>
      </c>
      <c r="E210" s="48">
        <f t="shared" si="6"/>
        <v>-1115.5999999999999</v>
      </c>
      <c r="F210" s="805" t="str">
        <f t="shared" si="7"/>
        <v/>
      </c>
    </row>
    <row r="211" spans="1:6" s="119" customFormat="1" x14ac:dyDescent="0.15">
      <c r="A211" s="118"/>
      <c r="B211" s="804" t="s">
        <v>233</v>
      </c>
      <c r="C211" s="48">
        <f>-3744</f>
        <v>-3744</v>
      </c>
      <c r="D211" s="48">
        <f>-32000</f>
        <v>-32000</v>
      </c>
      <c r="E211" s="48">
        <f t="shared" si="6"/>
        <v>28256</v>
      </c>
      <c r="F211" s="805">
        <f t="shared" si="7"/>
        <v>0.11700000000000001</v>
      </c>
    </row>
    <row r="212" spans="1:6" s="119" customFormat="1" x14ac:dyDescent="0.15">
      <c r="A212" s="118"/>
      <c r="B212" s="804" t="s">
        <v>234</v>
      </c>
      <c r="C212" s="48">
        <f>-96</f>
        <v>-96</v>
      </c>
      <c r="D212" s="48">
        <f>-644</f>
        <v>-644</v>
      </c>
      <c r="E212" s="48">
        <f t="shared" si="6"/>
        <v>548</v>
      </c>
      <c r="F212" s="805">
        <f t="shared" si="7"/>
        <v>0.14906832298136646</v>
      </c>
    </row>
    <row r="213" spans="1:6" s="689" customFormat="1" x14ac:dyDescent="0.15">
      <c r="A213" s="688"/>
      <c r="B213" s="809" t="s">
        <v>235</v>
      </c>
      <c r="C213" s="818">
        <f>((((C208)+(C209))+(C210))+(C211))+(C212)</f>
        <v>-26779.46</v>
      </c>
      <c r="D213" s="818">
        <f>((((D208)+(D209))+(D210))+(D211))+(D212)</f>
        <v>-55968</v>
      </c>
      <c r="E213" s="818">
        <f t="shared" si="6"/>
        <v>29188.54</v>
      </c>
      <c r="F213" s="810">
        <f t="shared" si="7"/>
        <v>0.4784780588907947</v>
      </c>
    </row>
    <row r="214" spans="1:6" s="119" customFormat="1" x14ac:dyDescent="0.15">
      <c r="A214" s="118"/>
      <c r="B214" s="806"/>
      <c r="C214" s="815"/>
      <c r="D214" s="815"/>
      <c r="E214" s="815"/>
      <c r="F214" s="807"/>
    </row>
    <row r="215" spans="1:6" s="119" customFormat="1" x14ac:dyDescent="0.15">
      <c r="A215" s="118"/>
      <c r="B215" s="806"/>
      <c r="C215" s="815"/>
      <c r="D215" s="815"/>
      <c r="E215" s="815"/>
      <c r="F215" s="807"/>
    </row>
    <row r="216" spans="1:6" s="119" customFormat="1" x14ac:dyDescent="0.15">
      <c r="A216" s="118"/>
      <c r="B216" s="806" t="s">
        <v>236</v>
      </c>
      <c r="C216" s="816"/>
      <c r="D216" s="816"/>
      <c r="E216" s="48">
        <f t="shared" si="6"/>
        <v>0</v>
      </c>
      <c r="F216" s="805" t="str">
        <f t="shared" si="7"/>
        <v/>
      </c>
    </row>
    <row r="217" spans="1:6" s="119" customFormat="1" x14ac:dyDescent="0.15">
      <c r="A217" s="118"/>
      <c r="B217" s="804" t="s">
        <v>237</v>
      </c>
      <c r="C217" s="48">
        <v>14733.54</v>
      </c>
      <c r="D217" s="48">
        <f>16677</f>
        <v>16677</v>
      </c>
      <c r="E217" s="48">
        <f t="shared" si="6"/>
        <v>-1943.4599999999991</v>
      </c>
      <c r="F217" s="805">
        <f t="shared" si="7"/>
        <v>0.88346465191581225</v>
      </c>
    </row>
    <row r="218" spans="1:6" s="829" customFormat="1" x14ac:dyDescent="0.15">
      <c r="A218" s="825"/>
      <c r="B218" s="826" t="s">
        <v>238</v>
      </c>
      <c r="C218" s="830">
        <v>43551.21</v>
      </c>
      <c r="D218" s="827">
        <f>39310</f>
        <v>39310</v>
      </c>
      <c r="E218" s="827">
        <f t="shared" si="6"/>
        <v>4241.2099999999991</v>
      </c>
      <c r="F218" s="828">
        <f t="shared" si="7"/>
        <v>1.1078913762401423</v>
      </c>
    </row>
    <row r="219" spans="1:6" s="119" customFormat="1" x14ac:dyDescent="0.15">
      <c r="A219" s="118"/>
      <c r="B219" s="804" t="s">
        <v>239</v>
      </c>
      <c r="C219" s="48">
        <v>8027.72</v>
      </c>
      <c r="D219" s="48">
        <f>14276</f>
        <v>14276</v>
      </c>
      <c r="E219" s="48">
        <f t="shared" si="6"/>
        <v>-6248.28</v>
      </c>
      <c r="F219" s="805">
        <f t="shared" si="7"/>
        <v>0.56232277949005327</v>
      </c>
    </row>
    <row r="220" spans="1:6" s="119" customFormat="1" x14ac:dyDescent="0.15">
      <c r="A220" s="118"/>
      <c r="B220" s="804" t="s">
        <v>240</v>
      </c>
      <c r="C220" s="816"/>
      <c r="D220" s="48">
        <f>0</f>
        <v>0</v>
      </c>
      <c r="E220" s="48">
        <f t="shared" si="6"/>
        <v>0</v>
      </c>
      <c r="F220" s="805" t="str">
        <f t="shared" si="7"/>
        <v/>
      </c>
    </row>
    <row r="221" spans="1:6" s="119" customFormat="1" x14ac:dyDescent="0.15">
      <c r="A221" s="118"/>
      <c r="B221" s="804" t="s">
        <v>241</v>
      </c>
      <c r="C221" s="48">
        <v>2772.51</v>
      </c>
      <c r="D221" s="48">
        <f>4326</f>
        <v>4326</v>
      </c>
      <c r="E221" s="48">
        <f t="shared" si="6"/>
        <v>-1553.4899999999998</v>
      </c>
      <c r="F221" s="805">
        <f t="shared" si="7"/>
        <v>0.64089459084604716</v>
      </c>
    </row>
    <row r="222" spans="1:6" s="119" customFormat="1" x14ac:dyDescent="0.15">
      <c r="A222" s="118"/>
      <c r="B222" s="804" t="s">
        <v>242</v>
      </c>
      <c r="C222" s="48">
        <v>2171.77</v>
      </c>
      <c r="D222" s="48">
        <f>5500</f>
        <v>5500</v>
      </c>
      <c r="E222" s="48">
        <f t="shared" si="6"/>
        <v>-3328.23</v>
      </c>
      <c r="F222" s="805">
        <f t="shared" si="7"/>
        <v>0.39486727272727273</v>
      </c>
    </row>
    <row r="223" spans="1:6" s="119" customFormat="1" x14ac:dyDescent="0.15">
      <c r="A223" s="118"/>
      <c r="B223" s="804" t="s">
        <v>243</v>
      </c>
      <c r="C223" s="48">
        <v>1323.18</v>
      </c>
      <c r="D223" s="48">
        <f>3003</f>
        <v>3003</v>
      </c>
      <c r="E223" s="48">
        <f t="shared" si="6"/>
        <v>-1679.82</v>
      </c>
      <c r="F223" s="805">
        <f t="shared" si="7"/>
        <v>0.44061938061938066</v>
      </c>
    </row>
    <row r="224" spans="1:6" s="119" customFormat="1" x14ac:dyDescent="0.15">
      <c r="A224" s="118"/>
      <c r="B224" s="804" t="s">
        <v>244</v>
      </c>
      <c r="C224" s="48">
        <v>1755.39</v>
      </c>
      <c r="D224" s="48">
        <f>2657</f>
        <v>2657</v>
      </c>
      <c r="E224" s="48">
        <f t="shared" si="6"/>
        <v>-901.6099999999999</v>
      </c>
      <c r="F224" s="805">
        <f t="shared" si="7"/>
        <v>0.66066616484757246</v>
      </c>
    </row>
    <row r="225" spans="1:6" s="119" customFormat="1" x14ac:dyDescent="0.15">
      <c r="A225" s="118"/>
      <c r="B225" s="804" t="s">
        <v>245</v>
      </c>
      <c r="C225" s="816"/>
      <c r="D225" s="48">
        <f>600</f>
        <v>600</v>
      </c>
      <c r="E225" s="48">
        <f t="shared" si="6"/>
        <v>-600</v>
      </c>
      <c r="F225" s="805">
        <f t="shared" si="7"/>
        <v>0</v>
      </c>
    </row>
    <row r="226" spans="1:6" s="829" customFormat="1" x14ac:dyDescent="0.15">
      <c r="A226" s="825"/>
      <c r="B226" s="826" t="s">
        <v>246</v>
      </c>
      <c r="C226" s="827">
        <v>11089.15</v>
      </c>
      <c r="D226" s="827">
        <f>8000</f>
        <v>8000</v>
      </c>
      <c r="E226" s="827">
        <f t="shared" si="6"/>
        <v>3089.1499999999996</v>
      </c>
      <c r="F226" s="828">
        <f t="shared" si="7"/>
        <v>1.38614375</v>
      </c>
    </row>
    <row r="227" spans="1:6" s="119" customFormat="1" x14ac:dyDescent="0.15">
      <c r="A227" s="118"/>
      <c r="B227" s="804" t="s">
        <v>247</v>
      </c>
      <c r="C227" s="48">
        <v>1271.83</v>
      </c>
      <c r="D227" s="48">
        <f>1792</f>
        <v>1792</v>
      </c>
      <c r="E227" s="48">
        <f t="shared" si="6"/>
        <v>-520.17000000000007</v>
      </c>
      <c r="F227" s="805">
        <f t="shared" si="7"/>
        <v>0.70972656249999999</v>
      </c>
    </row>
    <row r="228" spans="1:6" s="689" customFormat="1" ht="15.6" x14ac:dyDescent="0.15">
      <c r="A228" s="688"/>
      <c r="B228" s="809" t="s">
        <v>248</v>
      </c>
      <c r="C228" s="818">
        <f>(((((((((((C216)+(C217))+(C218))+(C219))+(C220))+(C221))+(C222))+(C223))+(C224))+(C225))+(C226))+(C227)</f>
        <v>86696.299999999988</v>
      </c>
      <c r="D228" s="818">
        <f>(((((((((((D216)+(D217))+(D218))+(D219))+(D220))+(D221))+(D222))+(D223))+(D224))+(D225))+(D226))+(D227)</f>
        <v>96141</v>
      </c>
      <c r="E228" s="818">
        <f t="shared" si="6"/>
        <v>-9444.7000000000116</v>
      </c>
      <c r="F228" s="810">
        <f t="shared" si="7"/>
        <v>0.90176199540258561</v>
      </c>
    </row>
    <row r="229" spans="1:6" s="689" customFormat="1" x14ac:dyDescent="0.15">
      <c r="A229" s="688"/>
      <c r="B229" s="809" t="s">
        <v>249</v>
      </c>
      <c r="C229" s="818">
        <f>((C207)+(C213))+(C228)</f>
        <v>59916.839999999989</v>
      </c>
      <c r="D229" s="818">
        <f>((D207)+(D213))+(D228)</f>
        <v>40173</v>
      </c>
      <c r="E229" s="818">
        <f t="shared" si="6"/>
        <v>19743.839999999989</v>
      </c>
      <c r="F229" s="810">
        <f t="shared" si="7"/>
        <v>1.4914703905608242</v>
      </c>
    </row>
    <row r="230" spans="1:6" s="119" customFormat="1" x14ac:dyDescent="0.15">
      <c r="A230" s="118"/>
      <c r="B230" s="804"/>
      <c r="C230" s="48"/>
      <c r="D230" s="48"/>
      <c r="E230" s="48"/>
      <c r="F230" s="805"/>
    </row>
    <row r="231" spans="1:6" s="119" customFormat="1" x14ac:dyDescent="0.15">
      <c r="A231" s="118"/>
      <c r="B231" s="804"/>
      <c r="C231" s="48"/>
      <c r="D231" s="48"/>
      <c r="E231" s="48"/>
      <c r="F231" s="805"/>
    </row>
    <row r="232" spans="1:6" s="691" customFormat="1" ht="10.199999999999999" x14ac:dyDescent="0.2">
      <c r="A232" s="690"/>
      <c r="B232" s="802" t="s">
        <v>250</v>
      </c>
      <c r="C232" s="814"/>
      <c r="D232" s="814"/>
      <c r="E232" s="819">
        <f t="shared" si="6"/>
        <v>0</v>
      </c>
      <c r="F232" s="811" t="str">
        <f t="shared" si="7"/>
        <v/>
      </c>
    </row>
    <row r="233" spans="1:6" s="119" customFormat="1" x14ac:dyDescent="0.15">
      <c r="A233" s="118"/>
      <c r="B233" s="804" t="s">
        <v>251</v>
      </c>
      <c r="C233" s="48">
        <v>-23206.32</v>
      </c>
      <c r="D233" s="48">
        <f>-37350</f>
        <v>-37350</v>
      </c>
      <c r="E233" s="48">
        <f t="shared" si="6"/>
        <v>14143.68</v>
      </c>
      <c r="F233" s="805">
        <f t="shared" si="7"/>
        <v>0.62132048192771083</v>
      </c>
    </row>
    <row r="234" spans="1:6" s="119" customFormat="1" x14ac:dyDescent="0.15">
      <c r="A234" s="118"/>
      <c r="B234" s="804" t="s">
        <v>252</v>
      </c>
      <c r="C234" s="816"/>
      <c r="D234" s="48">
        <f>0</f>
        <v>0</v>
      </c>
      <c r="E234" s="48">
        <f t="shared" si="6"/>
        <v>0</v>
      </c>
      <c r="F234" s="805" t="str">
        <f t="shared" si="7"/>
        <v/>
      </c>
    </row>
    <row r="235" spans="1:6" s="119" customFormat="1" x14ac:dyDescent="0.15">
      <c r="A235" s="118"/>
      <c r="B235" s="804" t="s">
        <v>253</v>
      </c>
      <c r="C235" s="48">
        <v>21348.04</v>
      </c>
      <c r="D235" s="48">
        <f>25350</f>
        <v>25350</v>
      </c>
      <c r="E235" s="48">
        <f t="shared" si="6"/>
        <v>-4001.9599999999991</v>
      </c>
      <c r="F235" s="805">
        <f t="shared" si="7"/>
        <v>0.84213175542406316</v>
      </c>
    </row>
    <row r="236" spans="1:6" s="689" customFormat="1" x14ac:dyDescent="0.15">
      <c r="A236" s="688"/>
      <c r="B236" s="809" t="s">
        <v>254</v>
      </c>
      <c r="C236" s="818">
        <f>(((C232)+(C233))+(C234))+(C235)</f>
        <v>-1858.2799999999988</v>
      </c>
      <c r="D236" s="818">
        <f>(((D232)+(D233))+(D234))+(D235)</f>
        <v>-12000</v>
      </c>
      <c r="E236" s="818">
        <f t="shared" si="6"/>
        <v>10141.720000000001</v>
      </c>
      <c r="F236" s="810">
        <f t="shared" si="7"/>
        <v>0.15485666666666656</v>
      </c>
    </row>
    <row r="237" spans="1:6" s="119" customFormat="1" x14ac:dyDescent="0.15">
      <c r="A237" s="118"/>
      <c r="B237" s="806"/>
      <c r="C237" s="815"/>
      <c r="D237" s="815"/>
      <c r="E237" s="815"/>
      <c r="F237" s="807"/>
    </row>
    <row r="238" spans="1:6" s="119" customFormat="1" x14ac:dyDescent="0.15">
      <c r="A238" s="118"/>
      <c r="B238" s="806"/>
      <c r="C238" s="815"/>
      <c r="D238" s="815"/>
      <c r="E238" s="815"/>
      <c r="F238" s="807"/>
    </row>
    <row r="239" spans="1:6" s="691" customFormat="1" ht="10.199999999999999" x14ac:dyDescent="0.2">
      <c r="A239" s="690"/>
      <c r="B239" s="802" t="s">
        <v>255</v>
      </c>
      <c r="C239" s="820"/>
      <c r="D239" s="820"/>
      <c r="E239" s="821">
        <f t="shared" si="6"/>
        <v>0</v>
      </c>
      <c r="F239" s="813" t="str">
        <f t="shared" si="7"/>
        <v/>
      </c>
    </row>
    <row r="240" spans="1:6" s="119" customFormat="1" x14ac:dyDescent="0.15">
      <c r="A240" s="118"/>
      <c r="B240" s="804" t="s">
        <v>256</v>
      </c>
      <c r="C240" s="48">
        <v>-6835.94</v>
      </c>
      <c r="D240" s="48">
        <f>-13730</f>
        <v>-13730</v>
      </c>
      <c r="E240" s="48">
        <f t="shared" si="6"/>
        <v>6894.06</v>
      </c>
      <c r="F240" s="805">
        <f t="shared" si="7"/>
        <v>0.49788346686088852</v>
      </c>
    </row>
    <row r="241" spans="1:6" s="119" customFormat="1" x14ac:dyDescent="0.15">
      <c r="A241" s="118"/>
      <c r="B241" s="804" t="s">
        <v>257</v>
      </c>
      <c r="C241" s="816"/>
      <c r="D241" s="48">
        <f>0</f>
        <v>0</v>
      </c>
      <c r="E241" s="48">
        <f t="shared" si="6"/>
        <v>0</v>
      </c>
      <c r="F241" s="805" t="str">
        <f t="shared" si="7"/>
        <v/>
      </c>
    </row>
    <row r="242" spans="1:6" s="119" customFormat="1" x14ac:dyDescent="0.15">
      <c r="A242" s="118"/>
      <c r="B242" s="804" t="s">
        <v>258</v>
      </c>
      <c r="C242" s="48">
        <v>5349.46</v>
      </c>
      <c r="D242" s="48">
        <f>12320</f>
        <v>12320</v>
      </c>
      <c r="E242" s="48">
        <f t="shared" si="6"/>
        <v>-6970.54</v>
      </c>
      <c r="F242" s="805">
        <f t="shared" si="7"/>
        <v>0.43420941558441561</v>
      </c>
    </row>
    <row r="243" spans="1:6" s="689" customFormat="1" x14ac:dyDescent="0.15">
      <c r="A243" s="688"/>
      <c r="B243" s="809" t="s">
        <v>259</v>
      </c>
      <c r="C243" s="818">
        <f>(((C239)+(C240))+(C241))+(C242)</f>
        <v>-1486.4799999999996</v>
      </c>
      <c r="D243" s="818">
        <f>(((D239)+(D240))+(D241))+(D242)</f>
        <v>-1410</v>
      </c>
      <c r="E243" s="818">
        <f t="shared" si="6"/>
        <v>-76.479999999999563</v>
      </c>
      <c r="F243" s="810">
        <f t="shared" si="7"/>
        <v>1.0542411347517728</v>
      </c>
    </row>
    <row r="244" spans="1:6" s="119" customFormat="1" x14ac:dyDescent="0.15">
      <c r="A244" s="118"/>
      <c r="B244" s="806"/>
      <c r="C244" s="815"/>
      <c r="D244" s="815"/>
      <c r="E244" s="815"/>
      <c r="F244" s="807"/>
    </row>
    <row r="245" spans="1:6" s="119" customFormat="1" x14ac:dyDescent="0.15">
      <c r="A245" s="118"/>
      <c r="B245" s="806"/>
      <c r="C245" s="815"/>
      <c r="D245" s="815"/>
      <c r="E245" s="815"/>
      <c r="F245" s="807"/>
    </row>
    <row r="246" spans="1:6" s="689" customFormat="1" x14ac:dyDescent="0.15">
      <c r="A246" s="688"/>
      <c r="B246" s="809" t="s">
        <v>260</v>
      </c>
      <c r="C246" s="818">
        <v>793841.77</v>
      </c>
      <c r="D246" s="818">
        <f>(((((((((((((((((((((((((((((((((((((((((((((((D61)+(D62))+(D63))+(D64))+(D65))+(D66))+(D67))+(D76))+(D80))+(D81))+(D82))+(D83))+(D84))+(D91))+(D92))+(D93))+(D94))+(D95))+(D96))+(D97))+(D98))+(D99))+(D100))+(D101))+(D102))+(D103))+(D109))+(D110))+(D111))+(D112))+(D113))+(D114))+(D115))+(D116))+(D117))+(D118))+(D119))+(D120))+(D121))+(D127))+(D130))+(D131))+(D132))+(D136))+(D204))+(D229))+(D236))+(D243)</f>
        <v>977115</v>
      </c>
      <c r="E246" s="818">
        <f t="shared" si="6"/>
        <v>-183273.22999999998</v>
      </c>
      <c r="F246" s="810">
        <f t="shared" si="7"/>
        <v>0.81243432963366646</v>
      </c>
    </row>
    <row r="247" spans="1:6" s="689" customFormat="1" x14ac:dyDescent="0.15">
      <c r="A247" s="688"/>
      <c r="B247" s="809" t="s">
        <v>261</v>
      </c>
      <c r="C247" s="818">
        <f>(C57)-(C246)</f>
        <v>291124.37999999989</v>
      </c>
      <c r="D247" s="818">
        <f>(D57)-(D246)</f>
        <v>380250</v>
      </c>
      <c r="E247" s="818">
        <f t="shared" si="6"/>
        <v>-89125.620000000112</v>
      </c>
      <c r="F247" s="810">
        <f t="shared" si="7"/>
        <v>0.76561309664694255</v>
      </c>
    </row>
    <row r="248" spans="1:6" s="119" customFormat="1" x14ac:dyDescent="0.15">
      <c r="A248" s="118"/>
      <c r="B248" s="806"/>
      <c r="C248" s="815"/>
      <c r="D248" s="815"/>
      <c r="E248" s="815"/>
      <c r="F248" s="807"/>
    </row>
    <row r="249" spans="1:6" s="119" customFormat="1" x14ac:dyDescent="0.15">
      <c r="A249" s="118"/>
      <c r="B249" s="806"/>
      <c r="C249" s="815"/>
      <c r="D249" s="815"/>
      <c r="E249" s="815"/>
      <c r="F249" s="807"/>
    </row>
    <row r="250" spans="1:6" s="691" customFormat="1" ht="10.199999999999999" x14ac:dyDescent="0.2">
      <c r="A250" s="690"/>
      <c r="B250" s="802" t="s">
        <v>262</v>
      </c>
      <c r="C250" s="814"/>
      <c r="D250" s="814"/>
      <c r="E250" s="814"/>
      <c r="F250" s="803"/>
    </row>
    <row r="251" spans="1:6" s="119" customFormat="1" x14ac:dyDescent="0.15">
      <c r="A251" s="118"/>
      <c r="B251" s="804" t="s">
        <v>263</v>
      </c>
      <c r="C251" s="816"/>
      <c r="D251" s="48">
        <f>0</f>
        <v>0</v>
      </c>
      <c r="E251" s="48">
        <f t="shared" ref="E251:E269" si="8">(C251)-(D251)</f>
        <v>0</v>
      </c>
      <c r="F251" s="805" t="str">
        <f t="shared" ref="F251:F269" si="9">IF(D251=0,"",(C251)/(D251))</f>
        <v/>
      </c>
    </row>
    <row r="252" spans="1:6" s="119" customFormat="1" x14ac:dyDescent="0.15">
      <c r="A252" s="118"/>
      <c r="B252" s="804" t="s">
        <v>264</v>
      </c>
      <c r="C252" s="816"/>
      <c r="D252" s="48">
        <f>0</f>
        <v>0</v>
      </c>
      <c r="E252" s="48">
        <f t="shared" si="8"/>
        <v>0</v>
      </c>
      <c r="F252" s="805" t="str">
        <f t="shared" si="9"/>
        <v/>
      </c>
    </row>
    <row r="253" spans="1:6" s="119" customFormat="1" x14ac:dyDescent="0.15">
      <c r="A253" s="118"/>
      <c r="B253" s="804" t="s">
        <v>265</v>
      </c>
      <c r="C253" s="816"/>
      <c r="D253" s="48">
        <f>0</f>
        <v>0</v>
      </c>
      <c r="E253" s="48">
        <f t="shared" si="8"/>
        <v>0</v>
      </c>
      <c r="F253" s="805"/>
    </row>
    <row r="254" spans="1:6" s="119" customFormat="1" x14ac:dyDescent="0.15">
      <c r="A254" s="118"/>
      <c r="B254" s="804" t="s">
        <v>266</v>
      </c>
      <c r="C254" s="816"/>
      <c r="D254" s="48">
        <f>0</f>
        <v>0</v>
      </c>
      <c r="E254" s="48">
        <f t="shared" si="8"/>
        <v>0</v>
      </c>
      <c r="F254" s="805"/>
    </row>
    <row r="255" spans="1:6" s="119" customFormat="1" x14ac:dyDescent="0.15">
      <c r="A255" s="118"/>
      <c r="B255" s="804" t="s">
        <v>267</v>
      </c>
      <c r="C255" s="48">
        <f>85610.7</f>
        <v>85610.7</v>
      </c>
      <c r="D255" s="48">
        <f>0</f>
        <v>0</v>
      </c>
      <c r="E255" s="48">
        <f t="shared" si="8"/>
        <v>85610.7</v>
      </c>
      <c r="F255" s="805"/>
    </row>
    <row r="256" spans="1:6" s="119" customFormat="1" x14ac:dyDescent="0.15">
      <c r="A256" s="118"/>
      <c r="B256" s="804" t="s">
        <v>268</v>
      </c>
      <c r="C256" s="816"/>
      <c r="D256" s="48">
        <f>0</f>
        <v>0</v>
      </c>
      <c r="E256" s="48">
        <f t="shared" si="8"/>
        <v>0</v>
      </c>
      <c r="F256" s="805"/>
    </row>
    <row r="257" spans="1:6" s="119" customFormat="1" x14ac:dyDescent="0.15">
      <c r="A257" s="118"/>
      <c r="B257" s="804" t="s">
        <v>269</v>
      </c>
      <c r="C257" s="816"/>
      <c r="D257" s="48">
        <f>572629</f>
        <v>572629</v>
      </c>
      <c r="E257" s="48">
        <f t="shared" si="8"/>
        <v>-572629</v>
      </c>
      <c r="F257" s="805"/>
    </row>
    <row r="258" spans="1:6" s="119" customFormat="1" x14ac:dyDescent="0.15">
      <c r="A258" s="118"/>
      <c r="B258" s="804" t="s">
        <v>270</v>
      </c>
      <c r="C258" s="48">
        <f>-535.85</f>
        <v>-535.85</v>
      </c>
      <c r="D258" s="48">
        <f>0</f>
        <v>0</v>
      </c>
      <c r="E258" s="48">
        <f t="shared" si="8"/>
        <v>-535.85</v>
      </c>
      <c r="F258" s="805"/>
    </row>
    <row r="259" spans="1:6" s="119" customFormat="1" x14ac:dyDescent="0.15">
      <c r="A259" s="118"/>
      <c r="B259" s="804" t="s">
        <v>271</v>
      </c>
      <c r="C259" s="816"/>
      <c r="D259" s="48">
        <f>0</f>
        <v>0</v>
      </c>
      <c r="E259" s="48">
        <f t="shared" si="8"/>
        <v>0</v>
      </c>
      <c r="F259" s="805"/>
    </row>
    <row r="260" spans="1:6" s="119" customFormat="1" x14ac:dyDescent="0.15">
      <c r="A260" s="118"/>
      <c r="B260" s="804" t="s">
        <v>272</v>
      </c>
      <c r="C260" s="48">
        <f>438077.51</f>
        <v>438077.51</v>
      </c>
      <c r="D260" s="48">
        <f>0</f>
        <v>0</v>
      </c>
      <c r="E260" s="48">
        <f t="shared" si="8"/>
        <v>438077.51</v>
      </c>
      <c r="F260" s="805"/>
    </row>
    <row r="261" spans="1:6" s="119" customFormat="1" x14ac:dyDescent="0.15">
      <c r="A261" s="118"/>
      <c r="B261" s="804" t="s">
        <v>273</v>
      </c>
      <c r="C261" s="816"/>
      <c r="D261" s="48">
        <f>0</f>
        <v>0</v>
      </c>
      <c r="E261" s="48">
        <f t="shared" si="8"/>
        <v>0</v>
      </c>
      <c r="F261" s="805"/>
    </row>
    <row r="262" spans="1:6" s="119" customFormat="1" x14ac:dyDescent="0.15">
      <c r="A262" s="118"/>
      <c r="B262" s="804" t="s">
        <v>274</v>
      </c>
      <c r="C262" s="816"/>
      <c r="D262" s="48">
        <f>0</f>
        <v>0</v>
      </c>
      <c r="E262" s="48">
        <f t="shared" si="8"/>
        <v>0</v>
      </c>
      <c r="F262" s="805" t="str">
        <f t="shared" si="9"/>
        <v/>
      </c>
    </row>
    <row r="263" spans="1:6" s="119" customFormat="1" x14ac:dyDescent="0.15">
      <c r="A263" s="118"/>
      <c r="B263" s="804" t="s">
        <v>275</v>
      </c>
      <c r="C263" s="816"/>
      <c r="D263" s="48">
        <f>0</f>
        <v>0</v>
      </c>
      <c r="E263" s="48">
        <f t="shared" si="8"/>
        <v>0</v>
      </c>
      <c r="F263" s="805" t="str">
        <f t="shared" si="9"/>
        <v/>
      </c>
    </row>
    <row r="264" spans="1:6" s="119" customFormat="1" x14ac:dyDescent="0.15">
      <c r="A264" s="118"/>
      <c r="B264" s="804" t="s">
        <v>276</v>
      </c>
      <c r="C264" s="48">
        <f>(C262)+(C263)</f>
        <v>0</v>
      </c>
      <c r="D264" s="48">
        <f>(D262)+(D263)</f>
        <v>0</v>
      </c>
      <c r="E264" s="48">
        <f t="shared" si="8"/>
        <v>0</v>
      </c>
      <c r="F264" s="805" t="str">
        <f t="shared" si="9"/>
        <v/>
      </c>
    </row>
    <row r="265" spans="1:6" s="689" customFormat="1" x14ac:dyDescent="0.15">
      <c r="A265" s="688"/>
      <c r="B265" s="809" t="s">
        <v>277</v>
      </c>
      <c r="C265" s="818">
        <f>(((((((((((C251)+(C252))+(C253))+(C254))+(C255))+(C256))+(C257))+(C258))+(C259))+(C260))+(C261))+(C264)</f>
        <v>523152.36</v>
      </c>
      <c r="D265" s="818">
        <f>(((((((((((D251)+(D252))+(D253))+(D254))+(D255))+(D256))+(D257))+(D258))+(D259))+(D260))+(D261))+(D264)</f>
        <v>572629</v>
      </c>
      <c r="E265" s="818">
        <f t="shared" si="8"/>
        <v>-49476.640000000014</v>
      </c>
      <c r="F265" s="810">
        <f t="shared" si="9"/>
        <v>0.91359739028236431</v>
      </c>
    </row>
    <row r="266" spans="1:6" s="689" customFormat="1" x14ac:dyDescent="0.15">
      <c r="A266" s="688"/>
      <c r="B266" s="809" t="s">
        <v>278</v>
      </c>
      <c r="C266" s="818">
        <f>(0)-(C265)</f>
        <v>-523152.36</v>
      </c>
      <c r="D266" s="818">
        <f>(0)-(D265)</f>
        <v>-572629</v>
      </c>
      <c r="E266" s="818">
        <f t="shared" si="8"/>
        <v>49476.640000000014</v>
      </c>
      <c r="F266" s="810">
        <f t="shared" si="9"/>
        <v>0.91359739028236431</v>
      </c>
    </row>
    <row r="267" spans="1:6" s="119" customFormat="1" x14ac:dyDescent="0.15">
      <c r="A267" s="118"/>
      <c r="B267" s="804"/>
      <c r="C267" s="48"/>
      <c r="D267" s="48"/>
      <c r="E267" s="48"/>
      <c r="F267" s="805"/>
    </row>
    <row r="268" spans="1:6" s="119" customFormat="1" x14ac:dyDescent="0.15">
      <c r="A268" s="118"/>
      <c r="B268" s="804"/>
      <c r="C268" s="48"/>
      <c r="D268" s="48"/>
      <c r="E268" s="48"/>
      <c r="F268" s="805"/>
    </row>
    <row r="269" spans="1:6" s="689" customFormat="1" x14ac:dyDescent="0.15">
      <c r="A269" s="688"/>
      <c r="B269" s="809" t="s">
        <v>279</v>
      </c>
      <c r="C269" s="818">
        <f>(C247)+(C266)</f>
        <v>-232027.9800000001</v>
      </c>
      <c r="D269" s="818">
        <f>(D247)+(D266)</f>
        <v>-192379</v>
      </c>
      <c r="E269" s="818">
        <f t="shared" si="8"/>
        <v>-39648.980000000098</v>
      </c>
      <c r="F269" s="810">
        <f t="shared" si="9"/>
        <v>1.2060982747597195</v>
      </c>
    </row>
    <row r="270" spans="1:6" s="119" customFormat="1" ht="10.199999999999999" x14ac:dyDescent="0.2">
      <c r="A270" s="118"/>
      <c r="B270" s="121"/>
      <c r="C270" s="122"/>
      <c r="D270" s="122"/>
      <c r="E270" s="122"/>
      <c r="F270" s="123"/>
    </row>
    <row r="271" spans="1:6" s="119" customFormat="1" x14ac:dyDescent="0.15">
      <c r="A271" s="118"/>
      <c r="B271" s="693"/>
      <c r="C271" s="694"/>
      <c r="D271" s="694"/>
      <c r="E271" s="694"/>
      <c r="F271" s="695"/>
    </row>
    <row r="272" spans="1:6" s="691" customFormat="1" ht="10.199999999999999" x14ac:dyDescent="0.2">
      <c r="A272" s="690"/>
      <c r="B272" s="786" t="s">
        <v>280</v>
      </c>
      <c r="C272" s="787"/>
      <c r="D272" s="787"/>
      <c r="E272" s="787"/>
      <c r="F272" s="788"/>
    </row>
    <row r="273" spans="1:6" s="793" customFormat="1" x14ac:dyDescent="0.15">
      <c r="A273" s="789"/>
      <c r="B273" s="790" t="s">
        <v>281</v>
      </c>
      <c r="C273" s="791"/>
      <c r="D273" s="791"/>
      <c r="E273" s="791"/>
      <c r="F273" s="792"/>
    </row>
    <row r="274" spans="1:6" s="793" customFormat="1" x14ac:dyDescent="0.15">
      <c r="A274" s="789"/>
      <c r="B274" s="790" t="s">
        <v>683</v>
      </c>
      <c r="C274" s="791"/>
      <c r="D274" s="791"/>
      <c r="E274" s="791"/>
      <c r="F274" s="792"/>
    </row>
    <row r="275" spans="1:6" s="793" customFormat="1" x14ac:dyDescent="0.15">
      <c r="A275" s="789"/>
      <c r="B275" s="790" t="s">
        <v>682</v>
      </c>
      <c r="C275" s="791"/>
      <c r="D275" s="791"/>
      <c r="E275" s="791"/>
      <c r="F275" s="792"/>
    </row>
  </sheetData>
  <mergeCells count="1">
    <mergeCell ref="C6:F6"/>
  </mergeCells>
  <pageMargins left="0.65" right="0.35" top="0.4" bottom="0.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86C3-C047-4C80-A3B3-CD5FA46D5FA3}">
  <sheetPr>
    <tabColor rgb="FF0070C0"/>
  </sheetPr>
  <dimension ref="A1:P111"/>
  <sheetViews>
    <sheetView zoomScale="130" zoomScaleNormal="130" zoomScaleSheetLayoutView="130" workbookViewId="0">
      <selection activeCell="J23" sqref="J23"/>
    </sheetView>
  </sheetViews>
  <sheetFormatPr defaultColWidth="14.140625" defaultRowHeight="7.8" x14ac:dyDescent="0.15"/>
  <cols>
    <col min="1" max="1" width="3.140625" style="155" customWidth="1"/>
    <col min="2" max="2" width="3.7109375" style="175" customWidth="1"/>
    <col min="3" max="3" width="4.140625" style="175" customWidth="1"/>
    <col min="4" max="4" width="5" style="175" customWidth="1"/>
    <col min="5" max="5" width="10.7109375" style="175" customWidth="1"/>
    <col min="6" max="6" width="32.140625" style="175" customWidth="1"/>
    <col min="7" max="7" width="3.140625" style="176" customWidth="1"/>
    <col min="8" max="8" width="15.140625" style="152" customWidth="1"/>
    <col min="9" max="9" width="16.7109375" style="152" customWidth="1"/>
    <col min="10" max="10" width="15" style="152" customWidth="1"/>
    <col min="11" max="11" width="4" style="153" customWidth="1"/>
    <col min="12" max="12" width="10.7109375" style="154" customWidth="1"/>
    <col min="13" max="13" width="6.28515625" style="152" customWidth="1"/>
    <col min="14" max="14" width="4.140625" style="155" customWidth="1"/>
    <col min="15" max="16384" width="14.140625" style="155"/>
  </cols>
  <sheetData>
    <row r="1" spans="2:16" s="135" customFormat="1" x14ac:dyDescent="0.15">
      <c r="B1" s="127"/>
      <c r="C1" s="128"/>
      <c r="D1" s="129"/>
      <c r="E1" s="128"/>
      <c r="F1" s="128" t="s">
        <v>0</v>
      </c>
      <c r="G1" s="129"/>
      <c r="H1" s="130"/>
      <c r="I1" s="131"/>
      <c r="J1" s="132"/>
      <c r="K1" s="133"/>
      <c r="L1" s="134"/>
      <c r="M1" s="130"/>
    </row>
    <row r="2" spans="2:16" s="142" customFormat="1" ht="12" x14ac:dyDescent="0.25">
      <c r="B2" s="136"/>
      <c r="C2" s="137"/>
      <c r="D2" s="138"/>
      <c r="E2" s="137"/>
      <c r="F2" s="137" t="s">
        <v>282</v>
      </c>
      <c r="G2" s="138"/>
      <c r="H2" s="139"/>
      <c r="I2" s="140"/>
      <c r="J2" s="140"/>
      <c r="K2" s="141"/>
      <c r="L2" s="138"/>
      <c r="M2" s="139"/>
    </row>
    <row r="3" spans="2:16" s="149" customFormat="1" ht="10.199999999999999" x14ac:dyDescent="0.2">
      <c r="B3" s="143"/>
      <c r="C3" s="832"/>
      <c r="D3" s="832"/>
      <c r="E3" s="144"/>
      <c r="F3" s="144">
        <v>45413</v>
      </c>
      <c r="G3" s="144"/>
      <c r="H3" s="145"/>
      <c r="I3" s="146"/>
      <c r="J3" s="145"/>
      <c r="K3" s="147"/>
      <c r="L3" s="148"/>
      <c r="M3" s="145"/>
    </row>
    <row r="4" spans="2:16" x14ac:dyDescent="0.15">
      <c r="B4" s="150"/>
      <c r="C4" s="150"/>
      <c r="D4" s="150"/>
      <c r="E4" s="150"/>
      <c r="F4" s="150"/>
      <c r="G4" s="151"/>
      <c r="H4" s="763"/>
      <c r="I4" s="763"/>
    </row>
    <row r="5" spans="2:16" ht="10.199999999999999" x14ac:dyDescent="0.2">
      <c r="B5" s="150"/>
      <c r="C5" s="150"/>
      <c r="D5" s="150"/>
      <c r="E5" s="150"/>
      <c r="F5" s="150"/>
      <c r="G5" s="151"/>
      <c r="H5" s="764"/>
      <c r="I5" s="696">
        <v>45413</v>
      </c>
      <c r="J5" s="765"/>
    </row>
    <row r="6" spans="2:16" s="154" customFormat="1" ht="9.6" x14ac:dyDescent="0.2">
      <c r="B6" s="156"/>
      <c r="C6" s="156"/>
      <c r="D6" s="156"/>
      <c r="E6" s="156"/>
      <c r="F6" s="150"/>
      <c r="G6" s="151"/>
      <c r="H6" s="157">
        <v>45443</v>
      </c>
      <c r="I6" s="157">
        <v>45199</v>
      </c>
      <c r="J6" s="158" t="s">
        <v>283</v>
      </c>
      <c r="K6" s="159"/>
    </row>
    <row r="7" spans="2:16" s="161" customFormat="1" x14ac:dyDescent="0.15">
      <c r="B7" s="150" t="s">
        <v>284</v>
      </c>
      <c r="C7" s="150"/>
      <c r="D7" s="150"/>
      <c r="E7" s="150"/>
      <c r="F7" s="150"/>
      <c r="G7" s="151"/>
      <c r="H7" s="160"/>
      <c r="I7" s="160"/>
      <c r="J7" s="160"/>
      <c r="K7" s="153"/>
    </row>
    <row r="8" spans="2:16" s="161" customFormat="1" x14ac:dyDescent="0.15">
      <c r="B8" s="150"/>
      <c r="C8" s="162" t="s">
        <v>285</v>
      </c>
      <c r="D8" s="162"/>
      <c r="E8" s="162"/>
      <c r="F8" s="162"/>
      <c r="G8" s="151"/>
      <c r="H8" s="160"/>
      <c r="I8" s="160"/>
      <c r="J8" s="160"/>
      <c r="K8" s="153"/>
    </row>
    <row r="9" spans="2:16" s="161" customFormat="1" x14ac:dyDescent="0.15">
      <c r="B9" s="150"/>
      <c r="C9" s="150"/>
      <c r="D9" s="150" t="s">
        <v>286</v>
      </c>
      <c r="E9" s="150"/>
      <c r="F9" s="150"/>
      <c r="G9" s="151"/>
      <c r="H9" s="160"/>
      <c r="I9" s="160"/>
      <c r="J9" s="160"/>
      <c r="K9" s="153"/>
    </row>
    <row r="10" spans="2:16" x14ac:dyDescent="0.15">
      <c r="B10" s="163"/>
      <c r="C10" s="163"/>
      <c r="D10" s="164">
        <v>1</v>
      </c>
      <c r="E10" s="163" t="s">
        <v>287</v>
      </c>
      <c r="F10" s="163"/>
      <c r="G10" s="151"/>
      <c r="H10" s="165">
        <v>120588.01</v>
      </c>
      <c r="I10" s="165">
        <v>178294.15</v>
      </c>
      <c r="J10" s="165">
        <f>ROUND((H10-I10),5)</f>
        <v>-57706.14</v>
      </c>
      <c r="L10" s="161"/>
      <c r="M10" s="161"/>
      <c r="N10" s="161"/>
      <c r="O10" s="161"/>
      <c r="P10" s="161"/>
    </row>
    <row r="11" spans="2:16" s="161" customFormat="1" x14ac:dyDescent="0.15">
      <c r="B11" s="150"/>
      <c r="C11" s="150"/>
      <c r="D11" s="150" t="s">
        <v>288</v>
      </c>
      <c r="E11" s="150"/>
      <c r="F11" s="150"/>
      <c r="G11" s="151"/>
      <c r="H11" s="166">
        <f>SUM(H10:H10)</f>
        <v>120588.01</v>
      </c>
      <c r="I11" s="166">
        <f>SUM(I10:I10)</f>
        <v>178294.15</v>
      </c>
      <c r="J11" s="166">
        <f>SUM(J10:J10)</f>
        <v>-57706.14</v>
      </c>
      <c r="K11" s="153"/>
    </row>
    <row r="12" spans="2:16" x14ac:dyDescent="0.15">
      <c r="B12" s="163"/>
      <c r="C12" s="163"/>
      <c r="D12" s="163"/>
      <c r="E12" s="163"/>
      <c r="F12" s="163"/>
      <c r="G12" s="151"/>
      <c r="H12" s="165"/>
      <c r="I12" s="165"/>
      <c r="J12" s="165"/>
      <c r="L12" s="161"/>
      <c r="M12" s="161"/>
      <c r="N12" s="161"/>
      <c r="O12" s="161"/>
      <c r="P12" s="161"/>
    </row>
    <row r="13" spans="2:16" s="161" customFormat="1" x14ac:dyDescent="0.15">
      <c r="B13" s="150"/>
      <c r="C13" s="150"/>
      <c r="D13" s="150" t="s">
        <v>289</v>
      </c>
      <c r="E13" s="150"/>
      <c r="F13" s="150"/>
      <c r="G13" s="151"/>
      <c r="H13" s="167"/>
      <c r="I13" s="167"/>
      <c r="J13" s="167"/>
      <c r="K13" s="153"/>
    </row>
    <row r="14" spans="2:16" x14ac:dyDescent="0.15">
      <c r="B14" s="163"/>
      <c r="C14" s="163"/>
      <c r="D14" s="164">
        <v>1</v>
      </c>
      <c r="E14" s="163" t="s">
        <v>290</v>
      </c>
      <c r="F14" s="163"/>
      <c r="G14" s="151"/>
      <c r="H14" s="165">
        <v>-19984.099999999999</v>
      </c>
      <c r="I14" s="165">
        <v>19313.57</v>
      </c>
      <c r="J14" s="165">
        <f>ROUND((H14-I14),5)</f>
        <v>-39297.67</v>
      </c>
      <c r="L14" s="161"/>
      <c r="M14" s="161"/>
      <c r="N14" s="161"/>
      <c r="O14" s="161"/>
      <c r="P14" s="161"/>
    </row>
    <row r="15" spans="2:16" s="161" customFormat="1" x14ac:dyDescent="0.15">
      <c r="B15" s="150"/>
      <c r="C15" s="150"/>
      <c r="D15" s="150" t="s">
        <v>291</v>
      </c>
      <c r="E15" s="150"/>
      <c r="F15" s="150"/>
      <c r="G15" s="151"/>
      <c r="H15" s="166">
        <f>ROUND(SUM(H13:H14),5)</f>
        <v>-19984.099999999999</v>
      </c>
      <c r="I15" s="166">
        <f>ROUND(SUM(I13:I14),5)</f>
        <v>19313.57</v>
      </c>
      <c r="J15" s="166">
        <f>ROUND((H15-I15),5)</f>
        <v>-39297.67</v>
      </c>
      <c r="K15" s="153"/>
    </row>
    <row r="16" spans="2:16" x14ac:dyDescent="0.15">
      <c r="B16" s="163"/>
      <c r="C16" s="163"/>
      <c r="D16" s="163"/>
      <c r="E16" s="163"/>
      <c r="F16" s="163"/>
      <c r="G16" s="151"/>
      <c r="H16" s="165"/>
      <c r="I16" s="165"/>
      <c r="J16" s="165"/>
      <c r="L16" s="161"/>
      <c r="M16" s="161"/>
      <c r="N16" s="161"/>
      <c r="O16" s="161"/>
      <c r="P16" s="161"/>
    </row>
    <row r="17" spans="2:16" s="161" customFormat="1" x14ac:dyDescent="0.15">
      <c r="B17" s="150"/>
      <c r="C17" s="150"/>
      <c r="D17" s="150" t="s">
        <v>292</v>
      </c>
      <c r="E17" s="150"/>
      <c r="F17" s="150"/>
      <c r="G17" s="151"/>
      <c r="H17" s="167"/>
      <c r="I17" s="167"/>
      <c r="J17" s="167"/>
      <c r="K17" s="153"/>
    </row>
    <row r="18" spans="2:16" x14ac:dyDescent="0.15">
      <c r="B18" s="163"/>
      <c r="C18" s="163"/>
      <c r="D18" s="164">
        <v>1</v>
      </c>
      <c r="E18" s="163" t="s">
        <v>293</v>
      </c>
      <c r="F18" s="163"/>
      <c r="G18" s="151"/>
      <c r="H18" s="165">
        <v>4070.9</v>
      </c>
      <c r="I18" s="165">
        <v>4070.9</v>
      </c>
      <c r="J18" s="165">
        <f t="shared" ref="J18:J28" si="0">ROUND((H18-I18),5)</f>
        <v>0</v>
      </c>
      <c r="L18" s="161"/>
      <c r="M18" s="161"/>
      <c r="N18" s="161"/>
      <c r="O18" s="161"/>
      <c r="P18" s="161"/>
    </row>
    <row r="19" spans="2:16" x14ac:dyDescent="0.15">
      <c r="B19" s="163"/>
      <c r="C19" s="163"/>
      <c r="D19" s="164">
        <v>2</v>
      </c>
      <c r="E19" s="163" t="s">
        <v>294</v>
      </c>
      <c r="F19" s="163"/>
      <c r="G19" s="151"/>
      <c r="H19" s="165">
        <v>0</v>
      </c>
      <c r="I19" s="165">
        <v>0</v>
      </c>
      <c r="J19" s="165">
        <f t="shared" si="0"/>
        <v>0</v>
      </c>
      <c r="L19" s="161"/>
      <c r="M19" s="161"/>
      <c r="N19" s="161"/>
      <c r="O19" s="161"/>
      <c r="P19" s="161"/>
    </row>
    <row r="20" spans="2:16" x14ac:dyDescent="0.15">
      <c r="B20" s="163"/>
      <c r="C20" s="163"/>
      <c r="D20" s="164">
        <v>3</v>
      </c>
      <c r="E20" s="168" t="s">
        <v>295</v>
      </c>
      <c r="F20" s="163"/>
      <c r="G20" s="151"/>
      <c r="H20" s="165">
        <v>0</v>
      </c>
      <c r="I20" s="165">
        <v>0</v>
      </c>
      <c r="J20" s="165">
        <f t="shared" si="0"/>
        <v>0</v>
      </c>
      <c r="L20" s="161"/>
      <c r="M20" s="161"/>
      <c r="N20" s="161"/>
      <c r="O20" s="161"/>
      <c r="P20" s="161"/>
    </row>
    <row r="21" spans="2:16" x14ac:dyDescent="0.15">
      <c r="B21" s="163"/>
      <c r="C21" s="163"/>
      <c r="D21" s="164">
        <v>4</v>
      </c>
      <c r="E21" s="163" t="s">
        <v>296</v>
      </c>
      <c r="F21" s="163"/>
      <c r="G21" s="151"/>
      <c r="H21" s="165">
        <v>28161.79</v>
      </c>
      <c r="I21" s="165">
        <v>28161.79</v>
      </c>
      <c r="J21" s="165">
        <f t="shared" si="0"/>
        <v>0</v>
      </c>
      <c r="L21" s="161"/>
      <c r="M21" s="161"/>
      <c r="N21" s="161"/>
      <c r="O21" s="161"/>
      <c r="P21" s="161"/>
    </row>
    <row r="22" spans="2:16" x14ac:dyDescent="0.15">
      <c r="B22" s="163"/>
      <c r="C22" s="163"/>
      <c r="D22" s="164">
        <v>5</v>
      </c>
      <c r="E22" s="163" t="s">
        <v>297</v>
      </c>
      <c r="F22" s="163"/>
      <c r="G22" s="151"/>
      <c r="H22" s="165">
        <v>26059</v>
      </c>
      <c r="I22" s="165">
        <v>26059</v>
      </c>
      <c r="J22" s="165">
        <f t="shared" si="0"/>
        <v>0</v>
      </c>
      <c r="L22" s="161"/>
      <c r="M22" s="161"/>
      <c r="N22" s="161"/>
      <c r="O22" s="161"/>
      <c r="P22" s="161"/>
    </row>
    <row r="23" spans="2:16" x14ac:dyDescent="0.15">
      <c r="B23" s="163"/>
      <c r="C23" s="163"/>
      <c r="D23" s="164">
        <v>6</v>
      </c>
      <c r="E23" s="163" t="s">
        <v>298</v>
      </c>
      <c r="F23" s="163"/>
      <c r="G23" s="151"/>
      <c r="H23" s="165">
        <v>23862.75</v>
      </c>
      <c r="I23" s="165">
        <v>23862.75</v>
      </c>
      <c r="J23" s="165">
        <f t="shared" si="0"/>
        <v>0</v>
      </c>
      <c r="L23" s="161"/>
      <c r="M23" s="161"/>
      <c r="N23" s="161"/>
      <c r="O23" s="161"/>
      <c r="P23" s="161"/>
    </row>
    <row r="24" spans="2:16" x14ac:dyDescent="0.15">
      <c r="B24" s="163"/>
      <c r="C24" s="163"/>
      <c r="D24" s="164">
        <v>7</v>
      </c>
      <c r="E24" s="163" t="s">
        <v>299</v>
      </c>
      <c r="F24" s="163"/>
      <c r="G24" s="151"/>
      <c r="H24" s="165">
        <v>14755.82</v>
      </c>
      <c r="I24" s="165">
        <v>12094.46</v>
      </c>
      <c r="J24" s="165">
        <f t="shared" si="0"/>
        <v>2661.36</v>
      </c>
      <c r="L24" s="161"/>
      <c r="M24" s="161"/>
      <c r="N24" s="161"/>
      <c r="O24" s="161"/>
      <c r="P24" s="161"/>
    </row>
    <row r="25" spans="2:16" x14ac:dyDescent="0.15">
      <c r="B25" s="163"/>
      <c r="C25" s="163"/>
      <c r="D25" s="164">
        <v>8</v>
      </c>
      <c r="E25" s="163" t="s">
        <v>300</v>
      </c>
      <c r="F25" s="163"/>
      <c r="G25" s="151"/>
      <c r="H25" s="165">
        <v>94.31</v>
      </c>
      <c r="I25" s="165">
        <v>35337.370000000003</v>
      </c>
      <c r="J25" s="165">
        <f t="shared" si="0"/>
        <v>-35243.06</v>
      </c>
      <c r="L25" s="161"/>
      <c r="M25" s="161"/>
      <c r="N25" s="161"/>
      <c r="O25" s="161"/>
      <c r="P25" s="161"/>
    </row>
    <row r="26" spans="2:16" x14ac:dyDescent="0.15">
      <c r="B26" s="163"/>
      <c r="C26" s="163"/>
      <c r="D26" s="164">
        <v>9</v>
      </c>
      <c r="E26" s="163" t="s">
        <v>301</v>
      </c>
      <c r="F26" s="163"/>
      <c r="G26" s="151"/>
      <c r="H26" s="165">
        <v>1188.8900000000001</v>
      </c>
      <c r="I26" s="165">
        <v>1188.8900000000001</v>
      </c>
      <c r="J26" s="165">
        <f t="shared" si="0"/>
        <v>0</v>
      </c>
      <c r="L26" s="161"/>
      <c r="M26" s="161"/>
      <c r="N26" s="161"/>
      <c r="O26" s="161"/>
      <c r="P26" s="161"/>
    </row>
    <row r="27" spans="2:16" s="161" customFormat="1" x14ac:dyDescent="0.15">
      <c r="B27" s="150"/>
      <c r="C27" s="150"/>
      <c r="D27" s="164">
        <v>10</v>
      </c>
      <c r="E27" s="163" t="s">
        <v>302</v>
      </c>
      <c r="F27" s="163"/>
      <c r="G27" s="151"/>
      <c r="H27" s="165">
        <v>0</v>
      </c>
      <c r="I27" s="165">
        <v>0</v>
      </c>
      <c r="J27" s="165">
        <f t="shared" si="0"/>
        <v>0</v>
      </c>
      <c r="K27" s="153"/>
    </row>
    <row r="28" spans="2:16" s="161" customFormat="1" x14ac:dyDescent="0.15">
      <c r="B28" s="150"/>
      <c r="C28" s="150"/>
      <c r="D28" s="150" t="s">
        <v>303</v>
      </c>
      <c r="E28" s="150"/>
      <c r="F28" s="150"/>
      <c r="G28" s="151"/>
      <c r="H28" s="166">
        <f>SUM(H18:H27)</f>
        <v>98193.46</v>
      </c>
      <c r="I28" s="166">
        <f>ROUND(SUM(I17:I27),5)</f>
        <v>130775.16</v>
      </c>
      <c r="J28" s="166">
        <f t="shared" si="0"/>
        <v>-32581.7</v>
      </c>
      <c r="K28" s="153"/>
      <c r="L28" s="155"/>
    </row>
    <row r="29" spans="2:16" s="161" customFormat="1" x14ac:dyDescent="0.15">
      <c r="B29" s="150"/>
      <c r="C29" s="150"/>
      <c r="D29" s="150"/>
      <c r="E29" s="150"/>
      <c r="F29" s="150"/>
      <c r="G29" s="151"/>
      <c r="H29" s="167"/>
      <c r="I29" s="167"/>
      <c r="J29" s="167"/>
      <c r="K29" s="153"/>
    </row>
    <row r="30" spans="2:16" s="161" customFormat="1" x14ac:dyDescent="0.15">
      <c r="B30" s="150"/>
      <c r="C30" s="169" t="s">
        <v>304</v>
      </c>
      <c r="D30" s="169"/>
      <c r="E30" s="169"/>
      <c r="F30" s="169"/>
      <c r="G30" s="170"/>
      <c r="H30" s="166">
        <f>ROUND(H8+H11+H15+H28,5)</f>
        <v>198797.37</v>
      </c>
      <c r="I30" s="166">
        <f>ROUND(I8+I11+I15+I28,5)</f>
        <v>328382.88</v>
      </c>
      <c r="J30" s="166">
        <f>ROUND((H30-I30),5)</f>
        <v>-129585.51</v>
      </c>
      <c r="K30" s="153"/>
      <c r="L30" s="155"/>
    </row>
    <row r="31" spans="2:16" s="161" customFormat="1" x14ac:dyDescent="0.15">
      <c r="B31" s="150"/>
      <c r="C31" s="150"/>
      <c r="D31" s="150"/>
      <c r="E31" s="150"/>
      <c r="F31" s="150"/>
      <c r="G31" s="151"/>
      <c r="H31" s="171"/>
      <c r="I31" s="171"/>
      <c r="J31" s="171"/>
      <c r="K31" s="153"/>
    </row>
    <row r="32" spans="2:16" x14ac:dyDescent="0.15">
      <c r="B32" s="150"/>
      <c r="C32" s="150" t="s">
        <v>305</v>
      </c>
      <c r="D32" s="150"/>
      <c r="E32" s="150"/>
      <c r="F32" s="150"/>
      <c r="G32" s="151"/>
      <c r="H32" s="171"/>
      <c r="I32" s="171"/>
      <c r="J32" s="171"/>
      <c r="L32" s="161"/>
      <c r="M32" s="161"/>
      <c r="N32" s="161"/>
      <c r="O32" s="161"/>
      <c r="P32" s="161"/>
    </row>
    <row r="33" spans="1:13" x14ac:dyDescent="0.15">
      <c r="B33" s="150"/>
      <c r="C33" s="163"/>
      <c r="D33" s="164">
        <v>1</v>
      </c>
      <c r="E33" s="163" t="s">
        <v>306</v>
      </c>
      <c r="F33" s="163"/>
      <c r="G33" s="151"/>
      <c r="H33" s="165">
        <v>-5505928.5499999998</v>
      </c>
      <c r="I33" s="165">
        <v>-5505928.5499999998</v>
      </c>
      <c r="J33" s="165">
        <f>ROUND((H33-I33),5)</f>
        <v>0</v>
      </c>
      <c r="L33" s="172"/>
    </row>
    <row r="34" spans="1:13" s="161" customFormat="1" x14ac:dyDescent="0.15">
      <c r="B34" s="150"/>
      <c r="C34" s="163"/>
      <c r="D34" s="164">
        <v>2</v>
      </c>
      <c r="E34" s="163" t="s">
        <v>307</v>
      </c>
      <c r="F34" s="163"/>
      <c r="G34" s="151"/>
      <c r="H34" s="165">
        <v>10746127.82</v>
      </c>
      <c r="I34" s="165">
        <v>10222439.609999999</v>
      </c>
      <c r="J34" s="165">
        <f>ROUND((H34-I34),5)</f>
        <v>523688.21</v>
      </c>
      <c r="K34" s="153"/>
      <c r="L34" s="154"/>
      <c r="M34" s="152"/>
    </row>
    <row r="35" spans="1:13" x14ac:dyDescent="0.15">
      <c r="B35" s="163"/>
      <c r="C35" s="169" t="s">
        <v>308</v>
      </c>
      <c r="D35" s="173"/>
      <c r="E35" s="169"/>
      <c r="F35" s="169"/>
      <c r="G35" s="170"/>
      <c r="H35" s="166">
        <f>ROUND(SUM(H33:H34),5)</f>
        <v>5240199.2699999996</v>
      </c>
      <c r="I35" s="166">
        <f>ROUND(SUM(I33:I34),5)</f>
        <v>4716511.0599999996</v>
      </c>
      <c r="J35" s="166">
        <f>ROUND((H35-I35),5)</f>
        <v>523688.21</v>
      </c>
      <c r="L35" s="161"/>
      <c r="M35" s="161"/>
    </row>
    <row r="36" spans="1:13" s="161" customFormat="1" x14ac:dyDescent="0.15">
      <c r="B36" s="163"/>
      <c r="C36" s="163"/>
      <c r="D36" s="174"/>
      <c r="E36" s="175"/>
      <c r="F36" s="175"/>
      <c r="G36" s="176"/>
      <c r="H36" s="171"/>
      <c r="I36" s="171"/>
      <c r="J36" s="171"/>
      <c r="K36" s="153"/>
    </row>
    <row r="37" spans="1:13" x14ac:dyDescent="0.15">
      <c r="B37" s="150"/>
      <c r="C37" s="150" t="s">
        <v>309</v>
      </c>
      <c r="D37" s="156"/>
      <c r="E37" s="150"/>
      <c r="F37" s="150"/>
      <c r="G37" s="151"/>
      <c r="H37" s="167"/>
      <c r="I37" s="167"/>
      <c r="J37" s="167"/>
      <c r="L37" s="161"/>
      <c r="M37" s="161"/>
    </row>
    <row r="38" spans="1:13" x14ac:dyDescent="0.15">
      <c r="B38" s="163"/>
      <c r="C38" s="164"/>
      <c r="D38" s="164">
        <v>1</v>
      </c>
      <c r="E38" s="163" t="s">
        <v>310</v>
      </c>
      <c r="F38" s="163"/>
      <c r="G38" s="151"/>
      <c r="H38" s="165">
        <v>0</v>
      </c>
      <c r="I38" s="165">
        <v>0</v>
      </c>
      <c r="J38" s="165">
        <f t="shared" ref="J38:J48" si="1">ROUND((H38-I38),5)</f>
        <v>0</v>
      </c>
      <c r="L38" s="161"/>
      <c r="M38" s="161"/>
    </row>
    <row r="39" spans="1:13" x14ac:dyDescent="0.15">
      <c r="B39" s="150"/>
      <c r="C39" s="164"/>
      <c r="D39" s="164">
        <v>2</v>
      </c>
      <c r="E39" s="163" t="s">
        <v>311</v>
      </c>
      <c r="F39" s="163"/>
      <c r="G39" s="151"/>
      <c r="H39" s="165">
        <v>0</v>
      </c>
      <c r="I39" s="165">
        <v>0</v>
      </c>
      <c r="J39" s="165">
        <f t="shared" si="1"/>
        <v>0</v>
      </c>
      <c r="L39" s="161"/>
      <c r="M39" s="161"/>
    </row>
    <row r="40" spans="1:13" x14ac:dyDescent="0.15">
      <c r="B40" s="163"/>
      <c r="C40" s="164"/>
      <c r="D40" s="164">
        <v>3</v>
      </c>
      <c r="E40" s="163" t="s">
        <v>312</v>
      </c>
      <c r="F40" s="163"/>
      <c r="G40" s="151"/>
      <c r="H40" s="165">
        <v>20665.22</v>
      </c>
      <c r="I40" s="165">
        <v>20129.37</v>
      </c>
      <c r="J40" s="165">
        <f t="shared" si="1"/>
        <v>535.85</v>
      </c>
    </row>
    <row r="41" spans="1:13" x14ac:dyDescent="0.15">
      <c r="B41" s="163"/>
      <c r="C41" s="164"/>
      <c r="D41" s="164">
        <v>4</v>
      </c>
      <c r="E41" s="163" t="s">
        <v>313</v>
      </c>
      <c r="F41" s="163"/>
      <c r="G41" s="151"/>
      <c r="H41" s="165">
        <v>11872.03</v>
      </c>
      <c r="I41" s="165">
        <v>11872.03</v>
      </c>
      <c r="J41" s="165">
        <f t="shared" si="1"/>
        <v>0</v>
      </c>
    </row>
    <row r="42" spans="1:13" x14ac:dyDescent="0.15">
      <c r="B42" s="163"/>
      <c r="C42" s="164"/>
      <c r="D42" s="164">
        <v>5</v>
      </c>
      <c r="E42" s="163" t="s">
        <v>314</v>
      </c>
      <c r="F42" s="163"/>
      <c r="G42" s="151"/>
      <c r="H42" s="165">
        <v>324751.65000000002</v>
      </c>
      <c r="I42" s="165">
        <v>407933.94</v>
      </c>
      <c r="J42" s="165">
        <f t="shared" si="1"/>
        <v>-83182.289999999994</v>
      </c>
      <c r="L42" s="161"/>
      <c r="M42" s="161"/>
    </row>
    <row r="43" spans="1:13" x14ac:dyDescent="0.15">
      <c r="B43" s="163"/>
      <c r="C43" s="164"/>
      <c r="D43" s="164">
        <v>6</v>
      </c>
      <c r="E43" s="163" t="s">
        <v>315</v>
      </c>
      <c r="F43" s="163"/>
      <c r="G43" s="177"/>
      <c r="H43" s="165">
        <v>714286.22</v>
      </c>
      <c r="I43" s="165">
        <v>706569.98</v>
      </c>
      <c r="J43" s="165">
        <f t="shared" si="1"/>
        <v>7716.24</v>
      </c>
    </row>
    <row r="44" spans="1:13" x14ac:dyDescent="0.15">
      <c r="B44" s="163"/>
      <c r="C44" s="164"/>
      <c r="D44" s="164">
        <v>7</v>
      </c>
      <c r="E44" s="163" t="s">
        <v>316</v>
      </c>
      <c r="F44" s="163"/>
      <c r="G44" s="151"/>
      <c r="H44" s="165">
        <v>115313.99</v>
      </c>
      <c r="I44" s="165">
        <v>96381.98</v>
      </c>
      <c r="J44" s="165">
        <f t="shared" si="1"/>
        <v>18932.009999999998</v>
      </c>
      <c r="L44" s="161"/>
      <c r="M44" s="161"/>
    </row>
    <row r="45" spans="1:13" x14ac:dyDescent="0.15">
      <c r="B45" s="163"/>
      <c r="C45" s="164"/>
      <c r="D45" s="164">
        <v>8</v>
      </c>
      <c r="E45" s="163" t="s">
        <v>317</v>
      </c>
      <c r="F45" s="163"/>
      <c r="G45" s="151"/>
      <c r="H45" s="165">
        <v>0</v>
      </c>
      <c r="I45" s="165">
        <v>0</v>
      </c>
      <c r="J45" s="165">
        <f t="shared" si="1"/>
        <v>0</v>
      </c>
    </row>
    <row r="46" spans="1:13" x14ac:dyDescent="0.15">
      <c r="B46" s="163"/>
      <c r="C46" s="164"/>
      <c r="D46" s="164">
        <v>9</v>
      </c>
      <c r="E46" s="163" t="s">
        <v>318</v>
      </c>
      <c r="F46" s="163"/>
      <c r="G46" s="151"/>
      <c r="H46" s="165">
        <v>12440.56</v>
      </c>
      <c r="I46" s="165">
        <v>12440.56</v>
      </c>
      <c r="J46" s="165">
        <f t="shared" si="1"/>
        <v>0</v>
      </c>
    </row>
    <row r="47" spans="1:13" s="161" customFormat="1" x14ac:dyDescent="0.15">
      <c r="A47" s="155"/>
      <c r="B47" s="163"/>
      <c r="C47" s="164"/>
      <c r="D47" s="164">
        <v>10</v>
      </c>
      <c r="E47" s="163" t="s">
        <v>319</v>
      </c>
      <c r="F47" s="163"/>
      <c r="G47" s="151"/>
      <c r="H47" s="165">
        <v>0</v>
      </c>
      <c r="I47" s="165">
        <v>0</v>
      </c>
      <c r="J47" s="165">
        <f t="shared" si="1"/>
        <v>0</v>
      </c>
      <c r="K47" s="153"/>
    </row>
    <row r="48" spans="1:13" x14ac:dyDescent="0.15">
      <c r="A48" s="161"/>
      <c r="B48" s="163"/>
      <c r="C48" s="150"/>
      <c r="D48" s="164">
        <v>11</v>
      </c>
      <c r="E48" s="163" t="s">
        <v>320</v>
      </c>
      <c r="F48" s="163"/>
      <c r="G48" s="151"/>
      <c r="H48" s="165">
        <v>0</v>
      </c>
      <c r="I48" s="165">
        <v>0</v>
      </c>
      <c r="J48" s="165">
        <f t="shared" si="1"/>
        <v>0</v>
      </c>
      <c r="L48" s="155"/>
      <c r="M48" s="155"/>
    </row>
    <row r="49" spans="1:13" s="175" customFormat="1" x14ac:dyDescent="0.15">
      <c r="A49" s="155"/>
      <c r="B49" s="163"/>
      <c r="C49" s="150"/>
      <c r="D49" s="150" t="s">
        <v>321</v>
      </c>
      <c r="E49" s="150"/>
      <c r="F49" s="150"/>
      <c r="G49" s="151"/>
      <c r="H49" s="167">
        <f>SUM(H38:H48)</f>
        <v>1199329.6700000002</v>
      </c>
      <c r="I49" s="167">
        <f t="shared" ref="I49:J49" si="2">SUM(I38:I48)</f>
        <v>1255327.8600000001</v>
      </c>
      <c r="J49" s="167">
        <f t="shared" si="2"/>
        <v>-55998.189999999988</v>
      </c>
      <c r="K49" s="153"/>
    </row>
    <row r="50" spans="1:13" s="178" customFormat="1" x14ac:dyDescent="0.15">
      <c r="A50" s="155"/>
      <c r="B50" s="163"/>
      <c r="C50" s="150"/>
      <c r="D50" s="163"/>
      <c r="E50" s="150"/>
      <c r="F50" s="150"/>
      <c r="G50" s="151"/>
      <c r="H50" s="167"/>
      <c r="I50" s="167"/>
      <c r="J50" s="167"/>
      <c r="K50" s="153"/>
    </row>
    <row r="51" spans="1:13" s="161" customFormat="1" x14ac:dyDescent="0.15">
      <c r="A51" s="155"/>
      <c r="B51" s="163"/>
      <c r="C51" s="163"/>
      <c r="D51" s="164">
        <v>1</v>
      </c>
      <c r="E51" s="163" t="s">
        <v>322</v>
      </c>
      <c r="F51" s="163"/>
      <c r="G51" s="151"/>
      <c r="H51" s="165">
        <v>-196693.11</v>
      </c>
      <c r="I51" s="165">
        <v>-156360.31</v>
      </c>
      <c r="J51" s="165">
        <f>H51-I51</f>
        <v>-40332.799999999988</v>
      </c>
      <c r="K51" s="153"/>
      <c r="L51" s="155"/>
    </row>
    <row r="52" spans="1:13" s="161" customFormat="1" x14ac:dyDescent="0.15">
      <c r="A52" s="175"/>
      <c r="B52" s="163"/>
      <c r="C52" s="169" t="s">
        <v>323</v>
      </c>
      <c r="D52" s="169"/>
      <c r="E52" s="179"/>
      <c r="F52" s="179"/>
      <c r="G52" s="170"/>
      <c r="H52" s="166">
        <f>SUM(H49:H51)</f>
        <v>1002636.5600000002</v>
      </c>
      <c r="I52" s="166">
        <f>SUM(I49:I51)</f>
        <v>1098967.55</v>
      </c>
      <c r="J52" s="166">
        <f>SUM(J49:J51)</f>
        <v>-96330.989999999976</v>
      </c>
      <c r="K52" s="153"/>
      <c r="L52" s="155"/>
    </row>
    <row r="53" spans="1:13" s="161" customFormat="1" x14ac:dyDescent="0.15">
      <c r="A53" s="175"/>
      <c r="B53" s="163"/>
      <c r="C53" s="150"/>
      <c r="D53" s="150"/>
      <c r="E53" s="163"/>
      <c r="F53" s="163"/>
      <c r="G53" s="151"/>
      <c r="H53" s="165"/>
      <c r="I53" s="165"/>
      <c r="J53" s="165"/>
      <c r="K53" s="153"/>
    </row>
    <row r="54" spans="1:13" s="161" customFormat="1" x14ac:dyDescent="0.15">
      <c r="A54" s="178"/>
      <c r="B54" s="180" t="s">
        <v>324</v>
      </c>
      <c r="C54" s="181"/>
      <c r="D54" s="181"/>
      <c r="E54" s="180"/>
      <c r="F54" s="180"/>
      <c r="G54" s="182"/>
      <c r="H54" s="183">
        <f>SUM(H30+H35+H52)</f>
        <v>6441633.2000000002</v>
      </c>
      <c r="I54" s="183">
        <f>SUM(I30+I35+I52)</f>
        <v>6143861.4899999993</v>
      </c>
      <c r="J54" s="183">
        <f>SUM(J30+J35+J52)</f>
        <v>297771.71000000002</v>
      </c>
      <c r="K54" s="153"/>
      <c r="L54" s="155"/>
    </row>
    <row r="55" spans="1:13" x14ac:dyDescent="0.15">
      <c r="A55" s="161"/>
      <c r="B55" s="163"/>
      <c r="C55" s="163"/>
      <c r="D55" s="163"/>
      <c r="E55" s="150"/>
      <c r="F55" s="150"/>
      <c r="G55" s="151"/>
      <c r="H55" s="165"/>
      <c r="I55" s="165"/>
      <c r="J55" s="165"/>
      <c r="L55" s="155"/>
      <c r="M55" s="155"/>
    </row>
    <row r="56" spans="1:13" s="161" customFormat="1" x14ac:dyDescent="0.15">
      <c r="B56" s="150"/>
      <c r="C56" s="150"/>
      <c r="D56" s="150"/>
      <c r="E56" s="163"/>
      <c r="F56" s="163"/>
      <c r="G56" s="151"/>
      <c r="H56" s="167"/>
      <c r="I56" s="167"/>
      <c r="J56" s="167"/>
      <c r="K56" s="153"/>
    </row>
    <row r="57" spans="1:13" x14ac:dyDescent="0.15">
      <c r="A57" s="161"/>
      <c r="B57" s="150" t="s">
        <v>325</v>
      </c>
      <c r="C57" s="150"/>
      <c r="D57" s="150"/>
      <c r="E57" s="163"/>
      <c r="F57" s="163"/>
      <c r="G57" s="151"/>
      <c r="H57" s="167"/>
      <c r="I57" s="167"/>
      <c r="J57" s="167"/>
      <c r="L57" s="155"/>
      <c r="M57" s="155"/>
    </row>
    <row r="58" spans="1:13" s="161" customFormat="1" x14ac:dyDescent="0.15">
      <c r="B58" s="150"/>
      <c r="C58" s="150" t="s">
        <v>326</v>
      </c>
      <c r="D58" s="163"/>
      <c r="E58" s="163"/>
      <c r="F58" s="163"/>
      <c r="G58" s="151"/>
      <c r="H58" s="167"/>
      <c r="I58" s="167"/>
      <c r="J58" s="167"/>
      <c r="K58" s="153"/>
    </row>
    <row r="59" spans="1:13" x14ac:dyDescent="0.15">
      <c r="B59" s="150"/>
      <c r="C59" s="150"/>
      <c r="D59" s="150" t="s">
        <v>327</v>
      </c>
      <c r="E59" s="163"/>
      <c r="F59" s="163"/>
      <c r="G59" s="151"/>
      <c r="H59" s="167"/>
      <c r="I59" s="167"/>
      <c r="J59" s="167"/>
      <c r="L59" s="155"/>
      <c r="M59" s="155"/>
    </row>
    <row r="60" spans="1:13" x14ac:dyDescent="0.15">
      <c r="A60" s="161"/>
      <c r="B60" s="150"/>
      <c r="C60" s="163"/>
      <c r="D60" s="174"/>
      <c r="E60" s="150" t="s">
        <v>328</v>
      </c>
      <c r="F60" s="150"/>
      <c r="H60" s="167"/>
      <c r="I60" s="167"/>
      <c r="J60" s="167"/>
      <c r="L60" s="155"/>
      <c r="M60" s="155"/>
    </row>
    <row r="61" spans="1:13" x14ac:dyDescent="0.15">
      <c r="B61" s="163"/>
      <c r="C61" s="150"/>
      <c r="D61" s="164">
        <v>1</v>
      </c>
      <c r="E61" s="163" t="s">
        <v>329</v>
      </c>
      <c r="G61" s="151"/>
      <c r="H61" s="165">
        <v>162.36000000000001</v>
      </c>
      <c r="I61" s="165">
        <v>31405.81</v>
      </c>
      <c r="J61" s="165">
        <f>ROUND((H61-I61),5)</f>
        <v>-31243.45</v>
      </c>
      <c r="L61" s="155"/>
      <c r="M61" s="155"/>
    </row>
    <row r="62" spans="1:13" x14ac:dyDescent="0.15">
      <c r="A62" s="161"/>
      <c r="B62" s="150"/>
      <c r="C62" s="163"/>
      <c r="D62" s="174"/>
      <c r="E62" s="150" t="s">
        <v>330</v>
      </c>
      <c r="F62" s="150"/>
      <c r="G62" s="151"/>
      <c r="H62" s="166">
        <f>ROUND(SUM(H61:H61),5)</f>
        <v>162.36000000000001</v>
      </c>
      <c r="I62" s="166">
        <f>ROUND(SUM(I61:I61),5)</f>
        <v>31405.81</v>
      </c>
      <c r="J62" s="166">
        <f>ROUND((H62-I62),5)</f>
        <v>-31243.45</v>
      </c>
      <c r="L62" s="155"/>
      <c r="M62" s="155"/>
    </row>
    <row r="63" spans="1:13" x14ac:dyDescent="0.15">
      <c r="B63" s="163"/>
      <c r="C63" s="163"/>
      <c r="D63" s="174"/>
      <c r="E63" s="163"/>
      <c r="F63" s="163"/>
      <c r="G63" s="151"/>
      <c r="H63" s="165"/>
      <c r="I63" s="165"/>
      <c r="J63" s="165"/>
      <c r="L63" s="155"/>
      <c r="M63" s="155"/>
    </row>
    <row r="64" spans="1:13" x14ac:dyDescent="0.15">
      <c r="B64" s="150"/>
      <c r="C64" s="163"/>
      <c r="D64" s="174"/>
      <c r="E64" s="150" t="s">
        <v>331</v>
      </c>
      <c r="F64" s="150"/>
      <c r="H64" s="167"/>
      <c r="I64" s="167"/>
      <c r="J64" s="167"/>
      <c r="L64" s="155"/>
      <c r="M64" s="155"/>
    </row>
    <row r="65" spans="1:13" x14ac:dyDescent="0.15">
      <c r="B65" s="163"/>
      <c r="C65" s="163"/>
      <c r="D65" s="164">
        <v>1</v>
      </c>
      <c r="E65" s="163" t="s">
        <v>332</v>
      </c>
      <c r="H65" s="165">
        <v>7156.31</v>
      </c>
      <c r="I65" s="165">
        <v>5217.24</v>
      </c>
      <c r="J65" s="165">
        <f t="shared" ref="J65:J71" si="3">ROUND((H65-I65),5)</f>
        <v>1939.07</v>
      </c>
      <c r="L65" s="155"/>
      <c r="M65" s="155"/>
    </row>
    <row r="66" spans="1:13" x14ac:dyDescent="0.15">
      <c r="B66" s="163"/>
      <c r="C66" s="163"/>
      <c r="D66" s="164">
        <v>2</v>
      </c>
      <c r="E66" s="163" t="s">
        <v>333</v>
      </c>
      <c r="H66" s="165">
        <v>56450</v>
      </c>
      <c r="I66" s="165">
        <v>15850</v>
      </c>
      <c r="J66" s="165">
        <f t="shared" si="3"/>
        <v>40600</v>
      </c>
      <c r="L66" s="155"/>
      <c r="M66" s="155"/>
    </row>
    <row r="67" spans="1:13" s="161" customFormat="1" x14ac:dyDescent="0.15">
      <c r="A67" s="155"/>
      <c r="B67" s="163"/>
      <c r="C67" s="163"/>
      <c r="D67" s="164">
        <v>3</v>
      </c>
      <c r="E67" s="163" t="s">
        <v>334</v>
      </c>
      <c r="F67" s="175"/>
      <c r="G67" s="176"/>
      <c r="H67" s="165">
        <v>101.11</v>
      </c>
      <c r="I67" s="165">
        <v>5536.65</v>
      </c>
      <c r="J67" s="165">
        <f t="shared" si="3"/>
        <v>-5435.54</v>
      </c>
      <c r="K67" s="153"/>
    </row>
    <row r="68" spans="1:13" x14ac:dyDescent="0.15">
      <c r="B68" s="163"/>
      <c r="C68" s="150"/>
      <c r="D68" s="164">
        <v>4</v>
      </c>
      <c r="E68" s="163" t="s">
        <v>335</v>
      </c>
      <c r="H68" s="165">
        <v>0</v>
      </c>
      <c r="I68" s="165">
        <v>0</v>
      </c>
      <c r="J68" s="165">
        <f t="shared" si="3"/>
        <v>0</v>
      </c>
      <c r="L68" s="155"/>
      <c r="M68" s="155"/>
    </row>
    <row r="69" spans="1:13" s="161" customFormat="1" x14ac:dyDescent="0.15">
      <c r="A69" s="155"/>
      <c r="B69" s="163"/>
      <c r="C69" s="163"/>
      <c r="D69" s="164">
        <v>5</v>
      </c>
      <c r="E69" s="163" t="s">
        <v>336</v>
      </c>
      <c r="F69" s="175"/>
      <c r="G69" s="176"/>
      <c r="H69" s="165">
        <v>0</v>
      </c>
      <c r="I69" s="165">
        <v>0</v>
      </c>
      <c r="J69" s="165">
        <f t="shared" si="3"/>
        <v>0</v>
      </c>
      <c r="K69" s="153"/>
    </row>
    <row r="70" spans="1:13" x14ac:dyDescent="0.15">
      <c r="B70" s="163"/>
      <c r="C70" s="150"/>
      <c r="D70" s="164">
        <v>6</v>
      </c>
      <c r="E70" s="163" t="s">
        <v>337</v>
      </c>
      <c r="G70" s="151"/>
      <c r="H70" s="165">
        <v>0</v>
      </c>
      <c r="I70" s="165">
        <v>0</v>
      </c>
      <c r="J70" s="165">
        <f t="shared" si="3"/>
        <v>0</v>
      </c>
      <c r="L70" s="155"/>
      <c r="M70" s="155"/>
    </row>
    <row r="71" spans="1:13" x14ac:dyDescent="0.15">
      <c r="A71" s="161"/>
      <c r="B71" s="163"/>
      <c r="C71" s="150"/>
      <c r="D71" s="164">
        <v>7</v>
      </c>
      <c r="E71" s="163" t="s">
        <v>331</v>
      </c>
      <c r="H71" s="165">
        <v>656.43</v>
      </c>
      <c r="I71" s="165">
        <v>391.43</v>
      </c>
      <c r="J71" s="165">
        <f t="shared" si="3"/>
        <v>265</v>
      </c>
      <c r="L71" s="155"/>
      <c r="M71" s="155"/>
    </row>
    <row r="72" spans="1:13" x14ac:dyDescent="0.15">
      <c r="B72" s="150"/>
      <c r="C72" s="163"/>
      <c r="D72" s="164">
        <v>8</v>
      </c>
      <c r="E72" s="150" t="s">
        <v>338</v>
      </c>
      <c r="F72" s="150"/>
      <c r="G72" s="151"/>
      <c r="H72" s="166">
        <f>SUM(H65:H71)</f>
        <v>64363.85</v>
      </c>
      <c r="I72" s="166">
        <f t="shared" ref="I72:J72" si="4">SUM(I65:I71)</f>
        <v>26995.32</v>
      </c>
      <c r="J72" s="166">
        <f t="shared" si="4"/>
        <v>37368.53</v>
      </c>
      <c r="L72" s="155"/>
      <c r="M72" s="155"/>
    </row>
    <row r="73" spans="1:13" x14ac:dyDescent="0.15">
      <c r="A73" s="161"/>
      <c r="B73" s="163"/>
      <c r="C73" s="163"/>
      <c r="D73" s="150"/>
      <c r="E73" s="163"/>
      <c r="F73" s="163"/>
      <c r="G73" s="151"/>
      <c r="H73" s="167"/>
      <c r="I73" s="167"/>
      <c r="J73" s="167"/>
      <c r="L73" s="155"/>
      <c r="M73" s="155"/>
    </row>
    <row r="74" spans="1:13" x14ac:dyDescent="0.15">
      <c r="B74" s="150"/>
      <c r="C74" s="169"/>
      <c r="D74" s="169" t="s">
        <v>339</v>
      </c>
      <c r="E74" s="179"/>
      <c r="F74" s="179"/>
      <c r="G74" s="170"/>
      <c r="H74" s="166">
        <f>SUM(H62+H72)</f>
        <v>64526.21</v>
      </c>
      <c r="I74" s="166">
        <f>SUM(I62+I72)</f>
        <v>58401.130000000005</v>
      </c>
      <c r="J74" s="166">
        <f>SUM(J62+J72)</f>
        <v>6125.0799999999981</v>
      </c>
      <c r="L74" s="155"/>
      <c r="M74" s="155"/>
    </row>
    <row r="75" spans="1:13" s="161" customFormat="1" x14ac:dyDescent="0.15">
      <c r="A75" s="155"/>
      <c r="B75" s="163"/>
      <c r="C75" s="150"/>
      <c r="D75" s="163"/>
      <c r="E75" s="163"/>
      <c r="F75" s="163"/>
      <c r="G75" s="151"/>
      <c r="H75" s="167"/>
      <c r="I75" s="167"/>
      <c r="J75" s="167"/>
      <c r="K75" s="153"/>
    </row>
    <row r="76" spans="1:13" x14ac:dyDescent="0.15">
      <c r="B76" s="163"/>
      <c r="C76" s="169" t="s">
        <v>340</v>
      </c>
      <c r="D76" s="169"/>
      <c r="E76" s="184"/>
      <c r="F76" s="184"/>
      <c r="G76" s="185"/>
      <c r="H76" s="166">
        <f>H74</f>
        <v>64526.21</v>
      </c>
      <c r="I76" s="166">
        <f t="shared" ref="I76:J76" si="5">I74</f>
        <v>58401.130000000005</v>
      </c>
      <c r="J76" s="166">
        <f t="shared" si="5"/>
        <v>6125.0799999999981</v>
      </c>
      <c r="L76" s="155"/>
      <c r="M76" s="155"/>
    </row>
    <row r="77" spans="1:13" s="161" customFormat="1" x14ac:dyDescent="0.15">
      <c r="A77" s="155"/>
      <c r="B77" s="163"/>
      <c r="D77" s="150"/>
      <c r="E77" s="175"/>
      <c r="F77" s="175"/>
      <c r="G77" s="176"/>
      <c r="H77" s="167"/>
      <c r="I77" s="167"/>
      <c r="J77" s="167"/>
      <c r="K77" s="153"/>
    </row>
    <row r="78" spans="1:13" x14ac:dyDescent="0.15">
      <c r="B78" s="163"/>
      <c r="C78" s="150" t="s">
        <v>341</v>
      </c>
      <c r="D78" s="150"/>
      <c r="H78" s="171"/>
      <c r="I78" s="171"/>
      <c r="J78" s="171"/>
      <c r="L78" s="155"/>
      <c r="M78" s="155"/>
    </row>
    <row r="79" spans="1:13" x14ac:dyDescent="0.15">
      <c r="B79" s="163"/>
      <c r="C79" s="150"/>
      <c r="D79" s="164">
        <v>1</v>
      </c>
      <c r="E79" s="178" t="s">
        <v>342</v>
      </c>
      <c r="H79" s="171">
        <v>0</v>
      </c>
      <c r="I79" s="171">
        <v>0</v>
      </c>
      <c r="J79" s="171">
        <v>0</v>
      </c>
      <c r="L79" s="155"/>
      <c r="M79" s="155"/>
    </row>
    <row r="80" spans="1:13" x14ac:dyDescent="0.15">
      <c r="A80" s="161"/>
      <c r="B80" s="163"/>
      <c r="C80" s="163"/>
      <c r="D80" s="164">
        <v>2</v>
      </c>
      <c r="E80" s="163" t="s">
        <v>343</v>
      </c>
      <c r="F80" s="163"/>
      <c r="G80" s="151"/>
      <c r="H80" s="165">
        <v>5306738.5199999996</v>
      </c>
      <c r="I80" s="165">
        <v>5306752.12</v>
      </c>
      <c r="J80" s="165">
        <f>ROUND((H80-I80),5)</f>
        <v>-13.6</v>
      </c>
      <c r="L80" s="155"/>
      <c r="M80" s="155"/>
    </row>
    <row r="81" spans="1:13" x14ac:dyDescent="0.15">
      <c r="B81" s="163"/>
      <c r="C81" s="150"/>
      <c r="D81" s="164">
        <v>3</v>
      </c>
      <c r="E81" s="163" t="s">
        <v>344</v>
      </c>
      <c r="F81" s="163"/>
      <c r="G81" s="151"/>
      <c r="H81" s="165">
        <v>1302396.45</v>
      </c>
      <c r="I81" s="165">
        <v>778708.24</v>
      </c>
      <c r="J81" s="165">
        <f>ROUND((H81-I81),5)</f>
        <v>523688.21</v>
      </c>
      <c r="L81" s="155"/>
      <c r="M81" s="155"/>
    </row>
    <row r="82" spans="1:13" s="161" customFormat="1" x14ac:dyDescent="0.15">
      <c r="B82" s="163"/>
      <c r="C82" s="150"/>
      <c r="D82" s="164">
        <v>4</v>
      </c>
      <c r="E82" s="163" t="s">
        <v>279</v>
      </c>
      <c r="F82" s="163"/>
      <c r="G82" s="151"/>
      <c r="H82" s="165">
        <v>-232027.98</v>
      </c>
      <c r="I82" s="165">
        <v>0</v>
      </c>
      <c r="J82" s="165">
        <f>ROUND((H82-I82),5)</f>
        <v>-232027.98</v>
      </c>
      <c r="K82" s="153"/>
    </row>
    <row r="83" spans="1:13" x14ac:dyDescent="0.15">
      <c r="B83" s="163"/>
      <c r="C83" s="169" t="s">
        <v>695</v>
      </c>
      <c r="D83" s="169"/>
      <c r="E83" s="169"/>
      <c r="F83" s="169"/>
      <c r="G83" s="170"/>
      <c r="H83" s="166">
        <f>SUM(H79:H82)</f>
        <v>6377106.9899999993</v>
      </c>
      <c r="I83" s="166">
        <f t="shared" ref="I83:J83" si="6">SUM(I79:I82)</f>
        <v>6085460.3600000003</v>
      </c>
      <c r="J83" s="166">
        <f t="shared" si="6"/>
        <v>291646.63</v>
      </c>
      <c r="L83" s="186"/>
      <c r="M83" s="187"/>
    </row>
    <row r="84" spans="1:13" x14ac:dyDescent="0.15">
      <c r="B84" s="163"/>
      <c r="C84" s="178"/>
      <c r="D84" s="163"/>
      <c r="H84" s="171"/>
      <c r="I84" s="171"/>
      <c r="J84" s="171"/>
    </row>
    <row r="85" spans="1:13" s="175" customFormat="1" x14ac:dyDescent="0.15">
      <c r="A85" s="155"/>
      <c r="B85" s="180" t="s">
        <v>345</v>
      </c>
      <c r="C85" s="188"/>
      <c r="D85" s="188"/>
      <c r="E85" s="180"/>
      <c r="F85" s="180"/>
      <c r="G85" s="189"/>
      <c r="H85" s="183">
        <f>SUM(H76+H83)</f>
        <v>6441633.1999999993</v>
      </c>
      <c r="I85" s="183">
        <f>SUM(I76+I83)</f>
        <v>6143861.4900000002</v>
      </c>
      <c r="J85" s="183">
        <f>SUM(J76+J83)</f>
        <v>297771.71000000002</v>
      </c>
      <c r="K85" s="153"/>
      <c r="L85" s="155"/>
      <c r="M85" s="152"/>
    </row>
    <row r="86" spans="1:13" x14ac:dyDescent="0.15">
      <c r="A86" s="161"/>
      <c r="B86" s="163"/>
      <c r="C86" s="178"/>
      <c r="D86" s="178"/>
      <c r="E86" s="178"/>
      <c r="F86" s="178"/>
      <c r="H86" s="190">
        <f>H54-H85</f>
        <v>0</v>
      </c>
      <c r="I86" s="190">
        <f>I54-I85</f>
        <v>0</v>
      </c>
      <c r="J86" s="190">
        <f>J54-J85</f>
        <v>0</v>
      </c>
      <c r="L86" s="155"/>
      <c r="M86" s="155"/>
    </row>
    <row r="87" spans="1:13" x14ac:dyDescent="0.15">
      <c r="B87" s="150"/>
      <c r="C87" s="178"/>
      <c r="D87" s="178"/>
      <c r="E87" s="155"/>
      <c r="F87" s="178"/>
      <c r="L87" s="155"/>
      <c r="M87" s="155"/>
    </row>
    <row r="88" spans="1:13" x14ac:dyDescent="0.15">
      <c r="B88" s="163"/>
      <c r="C88" s="178"/>
      <c r="D88" s="178"/>
      <c r="E88" s="178"/>
      <c r="F88" s="178"/>
      <c r="L88" s="155"/>
      <c r="M88" s="155"/>
    </row>
    <row r="89" spans="1:13" x14ac:dyDescent="0.15">
      <c r="A89" s="175"/>
      <c r="C89" s="178"/>
      <c r="D89" s="178"/>
      <c r="E89" s="178"/>
      <c r="F89" s="178"/>
      <c r="L89" s="155"/>
      <c r="M89" s="155"/>
    </row>
    <row r="90" spans="1:13" x14ac:dyDescent="0.15">
      <c r="C90" s="178"/>
      <c r="D90" s="178"/>
      <c r="E90" s="178"/>
      <c r="F90" s="178"/>
      <c r="L90" s="155"/>
      <c r="M90" s="155"/>
    </row>
    <row r="91" spans="1:13" x14ac:dyDescent="0.15">
      <c r="B91" s="178"/>
      <c r="C91" s="178"/>
      <c r="D91" s="178"/>
      <c r="E91" s="178"/>
      <c r="F91" s="178"/>
      <c r="L91" s="186"/>
      <c r="M91" s="187"/>
    </row>
    <row r="92" spans="1:13" x14ac:dyDescent="0.15">
      <c r="B92" s="178"/>
      <c r="C92" s="178"/>
      <c r="D92" s="178"/>
      <c r="E92" s="178"/>
      <c r="F92" s="178"/>
      <c r="L92" s="186"/>
      <c r="M92" s="187"/>
    </row>
    <row r="93" spans="1:13" x14ac:dyDescent="0.15">
      <c r="B93" s="178"/>
      <c r="C93" s="178"/>
      <c r="D93" s="178"/>
      <c r="E93" s="178"/>
      <c r="F93" s="178"/>
      <c r="L93" s="186"/>
      <c r="M93" s="187"/>
    </row>
    <row r="94" spans="1:13" x14ac:dyDescent="0.15">
      <c r="B94" s="178"/>
      <c r="C94" s="178"/>
      <c r="D94" s="178"/>
      <c r="E94" s="178"/>
      <c r="F94" s="178"/>
      <c r="L94" s="186"/>
      <c r="M94" s="187"/>
    </row>
    <row r="95" spans="1:13" x14ac:dyDescent="0.15">
      <c r="B95" s="178"/>
      <c r="C95" s="178"/>
      <c r="D95" s="178"/>
      <c r="E95" s="178"/>
      <c r="F95" s="178"/>
      <c r="L95" s="186"/>
      <c r="M95" s="187"/>
    </row>
    <row r="96" spans="1:13" x14ac:dyDescent="0.15">
      <c r="B96" s="178"/>
      <c r="C96" s="178"/>
      <c r="D96" s="178"/>
      <c r="E96" s="178"/>
      <c r="F96" s="178"/>
      <c r="L96" s="186"/>
      <c r="M96" s="187"/>
    </row>
    <row r="97" spans="2:13" x14ac:dyDescent="0.15">
      <c r="B97" s="178"/>
      <c r="C97" s="178"/>
      <c r="D97" s="178"/>
      <c r="E97" s="178"/>
      <c r="F97" s="178"/>
      <c r="L97" s="186"/>
      <c r="M97" s="187"/>
    </row>
    <row r="98" spans="2:13" x14ac:dyDescent="0.15">
      <c r="B98" s="178"/>
      <c r="C98" s="178"/>
      <c r="D98" s="178"/>
      <c r="E98" s="178"/>
      <c r="F98" s="178"/>
      <c r="L98" s="186"/>
      <c r="M98" s="187"/>
    </row>
    <row r="99" spans="2:13" x14ac:dyDescent="0.15">
      <c r="B99" s="178"/>
      <c r="C99" s="178"/>
      <c r="D99" s="178"/>
      <c r="E99" s="178"/>
      <c r="F99" s="178"/>
    </row>
    <row r="100" spans="2:13" x14ac:dyDescent="0.15">
      <c r="B100" s="178"/>
      <c r="C100" s="178"/>
      <c r="D100" s="178"/>
      <c r="E100" s="178"/>
      <c r="F100" s="178"/>
    </row>
    <row r="101" spans="2:13" x14ac:dyDescent="0.15">
      <c r="B101" s="178"/>
      <c r="C101" s="178"/>
      <c r="D101" s="178"/>
      <c r="E101" s="178"/>
      <c r="F101" s="178"/>
    </row>
    <row r="102" spans="2:13" x14ac:dyDescent="0.15">
      <c r="B102" s="178"/>
      <c r="C102" s="178"/>
      <c r="D102" s="178"/>
      <c r="E102" s="178"/>
      <c r="F102" s="178"/>
    </row>
    <row r="103" spans="2:13" x14ac:dyDescent="0.15">
      <c r="B103" s="178"/>
      <c r="C103" s="178"/>
      <c r="D103" s="178"/>
      <c r="E103" s="178"/>
      <c r="F103" s="178"/>
    </row>
    <row r="104" spans="2:13" x14ac:dyDescent="0.15">
      <c r="B104" s="178"/>
      <c r="C104" s="178"/>
      <c r="D104" s="178"/>
      <c r="E104" s="178"/>
      <c r="F104" s="178"/>
    </row>
    <row r="105" spans="2:13" x14ac:dyDescent="0.15">
      <c r="B105" s="178"/>
      <c r="C105" s="178"/>
      <c r="D105" s="178"/>
      <c r="E105" s="178"/>
      <c r="F105" s="178"/>
    </row>
    <row r="106" spans="2:13" x14ac:dyDescent="0.15">
      <c r="B106" s="178"/>
      <c r="C106" s="178"/>
      <c r="D106" s="178"/>
      <c r="E106" s="178"/>
      <c r="F106" s="178"/>
    </row>
    <row r="107" spans="2:13" x14ac:dyDescent="0.15">
      <c r="B107" s="178"/>
      <c r="C107" s="178"/>
      <c r="D107" s="178"/>
      <c r="E107" s="178"/>
      <c r="F107" s="178"/>
    </row>
    <row r="108" spans="2:13" x14ac:dyDescent="0.15">
      <c r="B108" s="178"/>
      <c r="C108" s="178"/>
      <c r="D108" s="178"/>
      <c r="E108" s="178"/>
      <c r="F108" s="178"/>
    </row>
    <row r="109" spans="2:13" x14ac:dyDescent="0.15">
      <c r="B109" s="178"/>
    </row>
    <row r="110" spans="2:13" x14ac:dyDescent="0.15">
      <c r="B110" s="178"/>
    </row>
    <row r="111" spans="2:13" x14ac:dyDescent="0.15">
      <c r="B111" s="178"/>
    </row>
  </sheetData>
  <mergeCells count="1">
    <mergeCell ref="C3:D3"/>
  </mergeCells>
  <pageMargins left="0.65" right="0.7" top="0.5" bottom="0.5" header="0.4" footer="0.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22483-30B4-49E3-B3AF-842A104D3A3C}">
  <sheetPr>
    <tabColor rgb="FF0070C0"/>
  </sheetPr>
  <dimension ref="A1:T109"/>
  <sheetViews>
    <sheetView zoomScale="115" zoomScaleNormal="115" zoomScaleSheetLayoutView="100" workbookViewId="0">
      <selection activeCell="B40" sqref="B40"/>
    </sheetView>
  </sheetViews>
  <sheetFormatPr defaultColWidth="14.140625" defaultRowHeight="7.8" x14ac:dyDescent="0.15"/>
  <cols>
    <col min="1" max="1" width="2.7109375" style="176" customWidth="1"/>
    <col min="2" max="2" width="13.28515625" style="279" customWidth="1"/>
    <col min="3" max="3" width="10.5703125" style="348" customWidth="1"/>
    <col min="4" max="4" width="2.85546875" style="154" customWidth="1"/>
    <col min="5" max="5" width="10.42578125" style="281" customWidth="1"/>
    <col min="6" max="6" width="12.85546875" style="353" customWidth="1"/>
    <col min="7" max="7" width="1.7109375" style="155" customWidth="1"/>
    <col min="8" max="8" width="10.5703125" style="152" customWidth="1"/>
    <col min="9" max="9" width="6.140625" style="155" bestFit="1" customWidth="1"/>
    <col min="10" max="10" width="10" style="350" customWidth="1"/>
    <col min="11" max="11" width="9.5703125" style="152" customWidth="1"/>
    <col min="12" max="12" width="11.5703125" style="152" customWidth="1"/>
    <col min="13" max="13" width="11.85546875" style="351" bestFit="1" customWidth="1"/>
    <col min="14" max="14" width="10.28515625" style="352" customWidth="1"/>
    <col min="15" max="16" width="2.28515625" style="154" customWidth="1"/>
    <col min="17" max="17" width="14.140625" style="161"/>
    <col min="18" max="16384" width="14.140625" style="155"/>
  </cols>
  <sheetData>
    <row r="1" spans="1:20" s="135" customFormat="1" x14ac:dyDescent="0.15">
      <c r="A1" s="127"/>
      <c r="B1" s="191" t="s">
        <v>0</v>
      </c>
      <c r="C1" s="192"/>
      <c r="D1" s="193"/>
      <c r="E1" s="194"/>
      <c r="F1" s="195"/>
      <c r="G1" s="133"/>
      <c r="H1" s="132"/>
      <c r="I1" s="196"/>
      <c r="J1" s="197"/>
      <c r="K1" s="131"/>
      <c r="L1" s="131"/>
      <c r="M1" s="133"/>
      <c r="N1" s="198"/>
      <c r="O1" s="195"/>
      <c r="P1" s="195"/>
      <c r="Q1" s="199"/>
    </row>
    <row r="2" spans="1:20" s="210" customFormat="1" ht="12" x14ac:dyDescent="0.25">
      <c r="A2" s="200"/>
      <c r="B2" s="201" t="s">
        <v>346</v>
      </c>
      <c r="C2" s="202"/>
      <c r="D2" s="203"/>
      <c r="E2" s="204"/>
      <c r="F2" s="205"/>
      <c r="G2" s="205"/>
      <c r="H2" s="206"/>
      <c r="I2" s="207"/>
      <c r="J2" s="208"/>
      <c r="K2" s="206"/>
      <c r="L2" s="206"/>
      <c r="M2" s="205"/>
      <c r="N2" s="209"/>
      <c r="O2" s="205"/>
      <c r="P2" s="205"/>
    </row>
    <row r="3" spans="1:20" s="149" customFormat="1" ht="10.199999999999999" x14ac:dyDescent="0.2">
      <c r="A3" s="143"/>
      <c r="B3" s="832">
        <v>45413</v>
      </c>
      <c r="C3" s="832"/>
      <c r="D3" s="211"/>
      <c r="E3" s="212"/>
      <c r="H3" s="145"/>
      <c r="I3" s="213"/>
      <c r="J3" s="214"/>
      <c r="K3" s="146"/>
      <c r="L3" s="146"/>
      <c r="M3" s="147"/>
      <c r="N3" s="215"/>
      <c r="O3" s="216"/>
      <c r="P3" s="216"/>
    </row>
    <row r="6" spans="1:20" x14ac:dyDescent="0.15">
      <c r="B6" s="217"/>
      <c r="C6" s="218"/>
      <c r="D6" s="172"/>
      <c r="E6" s="219"/>
      <c r="F6" s="220"/>
      <c r="G6" s="161"/>
      <c r="H6" s="187"/>
      <c r="I6" s="186"/>
      <c r="J6" s="221"/>
      <c r="K6" s="222"/>
      <c r="L6" s="222"/>
      <c r="M6" s="223"/>
      <c r="N6" s="224"/>
    </row>
    <row r="7" spans="1:20" ht="10.199999999999999" x14ac:dyDescent="0.2">
      <c r="B7" s="225"/>
      <c r="C7" s="226"/>
      <c r="D7" s="227"/>
      <c r="E7" s="228"/>
      <c r="F7" s="228"/>
      <c r="G7" s="229"/>
      <c r="H7" s="230" t="s">
        <v>347</v>
      </c>
      <c r="I7" s="231"/>
      <c r="J7" s="232"/>
      <c r="K7" s="233"/>
      <c r="L7" s="233"/>
      <c r="M7" s="234"/>
      <c r="N7" s="235"/>
    </row>
    <row r="8" spans="1:20" s="154" customFormat="1" ht="23.4" x14ac:dyDescent="0.15">
      <c r="A8" s="176"/>
      <c r="B8" s="236" t="s">
        <v>348</v>
      </c>
      <c r="C8" s="237" t="s">
        <v>349</v>
      </c>
      <c r="D8" s="238"/>
      <c r="E8" s="239" t="s">
        <v>350</v>
      </c>
      <c r="F8" s="240" t="s">
        <v>351</v>
      </c>
      <c r="G8" s="241"/>
      <c r="H8" s="242" t="s">
        <v>352</v>
      </c>
      <c r="I8" s="243" t="s">
        <v>353</v>
      </c>
      <c r="J8" s="244" t="s">
        <v>354</v>
      </c>
      <c r="K8" s="245" t="s">
        <v>355</v>
      </c>
      <c r="L8" s="245" t="s">
        <v>356</v>
      </c>
      <c r="M8" s="241" t="s">
        <v>357</v>
      </c>
      <c r="N8" s="246" t="s">
        <v>358</v>
      </c>
      <c r="Q8" s="161"/>
      <c r="R8" s="155"/>
      <c r="S8" s="155"/>
      <c r="T8" s="155"/>
    </row>
    <row r="9" spans="1:20" x14ac:dyDescent="0.15">
      <c r="B9" s="247"/>
      <c r="C9" s="248"/>
      <c r="D9" s="249"/>
      <c r="E9" s="250"/>
      <c r="F9" s="251"/>
      <c r="G9" s="252"/>
      <c r="H9" s="253"/>
      <c r="I9" s="254"/>
      <c r="J9" s="255"/>
      <c r="K9" s="256"/>
      <c r="L9" s="256"/>
      <c r="M9" s="257"/>
      <c r="N9" s="258"/>
    </row>
    <row r="10" spans="1:20" x14ac:dyDescent="0.15">
      <c r="B10" s="247" t="s">
        <v>359</v>
      </c>
      <c r="C10" s="248" t="s">
        <v>699</v>
      </c>
      <c r="D10" s="249"/>
      <c r="E10" s="261" t="s">
        <v>360</v>
      </c>
      <c r="F10" s="251">
        <v>98672.92</v>
      </c>
      <c r="G10" s="252"/>
      <c r="H10" s="262">
        <v>100000</v>
      </c>
      <c r="I10" s="794" t="s">
        <v>697</v>
      </c>
      <c r="J10" s="795">
        <v>5.3949999999999998E-2</v>
      </c>
      <c r="K10" s="256">
        <v>1327.08</v>
      </c>
      <c r="L10" s="796">
        <f>K10/3</f>
        <v>442.35999999999996</v>
      </c>
      <c r="M10" s="797">
        <v>45491</v>
      </c>
      <c r="N10" s="258" t="str">
        <f>C10</f>
        <v>IAABJ</v>
      </c>
    </row>
    <row r="11" spans="1:20" x14ac:dyDescent="0.15">
      <c r="B11" s="247" t="s">
        <v>359</v>
      </c>
      <c r="C11" s="248" t="s">
        <v>698</v>
      </c>
      <c r="D11" s="249"/>
      <c r="E11" s="250" t="s">
        <v>360</v>
      </c>
      <c r="F11" s="265">
        <v>98672.92</v>
      </c>
      <c r="G11" s="265"/>
      <c r="H11" s="262">
        <v>100000</v>
      </c>
      <c r="I11" s="256" t="s">
        <v>697</v>
      </c>
      <c r="J11" s="795">
        <v>5.3949999999999998E-2</v>
      </c>
      <c r="K11" s="256">
        <v>1327.08</v>
      </c>
      <c r="L11" s="796">
        <f>K11/3</f>
        <v>442.35999999999996</v>
      </c>
      <c r="M11" s="797">
        <v>45491</v>
      </c>
      <c r="N11" s="258" t="str">
        <f>C11</f>
        <v>IAABK</v>
      </c>
    </row>
    <row r="12" spans="1:20" x14ac:dyDescent="0.15">
      <c r="B12" s="247" t="s">
        <v>359</v>
      </c>
      <c r="C12" s="248" t="s">
        <v>700</v>
      </c>
      <c r="D12" s="249"/>
      <c r="E12" s="250" t="s">
        <v>360</v>
      </c>
      <c r="F12" s="265">
        <v>49590.11</v>
      </c>
      <c r="G12" s="265"/>
      <c r="H12" s="266">
        <v>50000</v>
      </c>
      <c r="I12" s="256" t="s">
        <v>701</v>
      </c>
      <c r="J12" s="255">
        <v>5.3870000000000001E-2</v>
      </c>
      <c r="K12" s="256">
        <v>409.89</v>
      </c>
      <c r="L12" s="256">
        <f>K12/2</f>
        <v>204.94499999999999</v>
      </c>
      <c r="M12" s="797">
        <v>45454</v>
      </c>
      <c r="N12" s="258" t="str">
        <f>C12</f>
        <v>IAABL</v>
      </c>
    </row>
    <row r="13" spans="1:20" x14ac:dyDescent="0.15">
      <c r="B13" s="267" t="s">
        <v>361</v>
      </c>
      <c r="C13" s="268"/>
      <c r="D13" s="269"/>
      <c r="E13" s="270"/>
      <c r="F13" s="271">
        <f>SUM(F10:F12)</f>
        <v>246935.95</v>
      </c>
      <c r="G13" s="272"/>
      <c r="H13" s="273">
        <f>SUM(H10:H12)</f>
        <v>250000</v>
      </c>
      <c r="I13" s="274"/>
      <c r="J13" s="275"/>
      <c r="K13" s="276">
        <f>SUM(K10:K12)</f>
        <v>3064.0499999999997</v>
      </c>
      <c r="L13" s="276">
        <f>SUM(L10:L12)</f>
        <v>1089.665</v>
      </c>
      <c r="M13" s="277"/>
      <c r="N13" s="278" t="s">
        <v>362</v>
      </c>
    </row>
    <row r="14" spans="1:20" x14ac:dyDescent="0.15">
      <c r="C14" s="280"/>
      <c r="D14" s="281"/>
      <c r="E14" s="282"/>
      <c r="F14" s="283"/>
      <c r="G14" s="284"/>
      <c r="H14" s="222"/>
      <c r="I14" s="285"/>
      <c r="J14" s="286"/>
      <c r="K14" s="287"/>
      <c r="L14" s="287"/>
      <c r="M14" s="288"/>
      <c r="N14" s="224"/>
    </row>
    <row r="15" spans="1:20" x14ac:dyDescent="0.15">
      <c r="C15" s="280"/>
      <c r="D15" s="281"/>
      <c r="E15" s="282"/>
      <c r="F15" s="283"/>
      <c r="G15" s="284"/>
      <c r="H15" s="222"/>
      <c r="I15" s="285"/>
      <c r="J15" s="286"/>
      <c r="K15" s="287"/>
      <c r="L15" s="287"/>
      <c r="M15" s="288"/>
      <c r="N15" s="224"/>
    </row>
    <row r="16" spans="1:20" s="154" customFormat="1" x14ac:dyDescent="0.15">
      <c r="A16" s="176"/>
      <c r="B16" s="279"/>
      <c r="C16" s="280"/>
      <c r="D16" s="281"/>
      <c r="E16" s="282"/>
      <c r="F16" s="283"/>
      <c r="G16" s="284"/>
      <c r="H16" s="222"/>
      <c r="I16" s="285"/>
      <c r="J16" s="286"/>
      <c r="K16" s="287"/>
      <c r="L16" s="287"/>
      <c r="M16" s="288"/>
      <c r="N16" s="224"/>
      <c r="O16" s="289"/>
      <c r="P16" s="289"/>
      <c r="Q16" s="161"/>
      <c r="R16" s="155"/>
      <c r="S16" s="155"/>
      <c r="T16" s="155"/>
    </row>
    <row r="17" spans="1:20" ht="10.199999999999999" x14ac:dyDescent="0.2">
      <c r="B17" s="290"/>
      <c r="C17" s="291"/>
      <c r="D17" s="292"/>
      <c r="E17" s="228"/>
      <c r="F17" s="228"/>
      <c r="G17" s="228"/>
      <c r="H17" s="230" t="s">
        <v>363</v>
      </c>
      <c r="I17" s="231"/>
      <c r="J17" s="232"/>
      <c r="K17" s="233"/>
      <c r="L17" s="233"/>
      <c r="M17" s="234"/>
      <c r="N17" s="235"/>
      <c r="O17" s="293"/>
      <c r="P17" s="293"/>
    </row>
    <row r="18" spans="1:20" ht="23.4" x14ac:dyDescent="0.15">
      <c r="B18" s="236" t="s">
        <v>348</v>
      </c>
      <c r="C18" s="237" t="s">
        <v>349</v>
      </c>
      <c r="D18" s="238"/>
      <c r="E18" s="239" t="s">
        <v>350</v>
      </c>
      <c r="F18" s="240" t="s">
        <v>364</v>
      </c>
      <c r="G18" s="241"/>
      <c r="H18" s="242"/>
      <c r="I18" s="243"/>
      <c r="J18" s="294" t="s">
        <v>354</v>
      </c>
      <c r="K18" s="242"/>
      <c r="L18" s="242" t="s">
        <v>365</v>
      </c>
      <c r="M18" s="241"/>
      <c r="N18" s="295" t="s">
        <v>366</v>
      </c>
      <c r="O18" s="285"/>
      <c r="P18" s="285"/>
    </row>
    <row r="19" spans="1:20" ht="15.6" x14ac:dyDescent="0.15">
      <c r="B19" s="247" t="s">
        <v>359</v>
      </c>
      <c r="C19" s="248">
        <v>45443</v>
      </c>
      <c r="D19" s="296"/>
      <c r="E19" s="297" t="s">
        <v>367</v>
      </c>
      <c r="F19" s="298">
        <v>297269.37</v>
      </c>
      <c r="G19" s="299"/>
      <c r="H19" s="300"/>
      <c r="I19" s="301" t="s">
        <v>368</v>
      </c>
      <c r="J19" s="302">
        <v>1E-3</v>
      </c>
      <c r="K19" s="263"/>
      <c r="L19" s="263">
        <v>11.93</v>
      </c>
      <c r="M19" s="297"/>
      <c r="N19" s="303">
        <v>3136</v>
      </c>
      <c r="O19" s="285"/>
      <c r="P19" s="285"/>
    </row>
    <row r="20" spans="1:20" x14ac:dyDescent="0.15">
      <c r="B20" s="267" t="s">
        <v>361</v>
      </c>
      <c r="C20" s="268"/>
      <c r="D20" s="269"/>
      <c r="E20" s="304"/>
      <c r="F20" s="305">
        <f>+F19</f>
        <v>297269.37</v>
      </c>
      <c r="G20" s="306"/>
      <c r="H20" s="307"/>
      <c r="I20" s="274"/>
      <c r="J20" s="308"/>
      <c r="K20" s="309"/>
      <c r="L20" s="309"/>
      <c r="M20" s="310"/>
      <c r="N20" s="311" t="s">
        <v>369</v>
      </c>
      <c r="O20" s="285"/>
      <c r="P20" s="285"/>
    </row>
    <row r="21" spans="1:20" x14ac:dyDescent="0.15">
      <c r="B21" s="217"/>
      <c r="C21" s="312"/>
      <c r="D21" s="313"/>
      <c r="E21" s="314"/>
      <c r="F21" s="315"/>
      <c r="G21" s="314"/>
      <c r="H21" s="316"/>
      <c r="I21" s="314"/>
      <c r="J21" s="317"/>
      <c r="K21" s="316"/>
      <c r="L21" s="316"/>
      <c r="M21" s="314"/>
      <c r="N21" s="318"/>
      <c r="O21" s="285"/>
      <c r="P21" s="285"/>
    </row>
    <row r="22" spans="1:20" x14ac:dyDescent="0.15">
      <c r="B22" s="217"/>
      <c r="C22" s="312"/>
      <c r="D22" s="313"/>
      <c r="E22" s="314"/>
      <c r="F22" s="315"/>
      <c r="G22" s="314"/>
      <c r="H22" s="316"/>
      <c r="I22" s="314"/>
      <c r="J22" s="317"/>
      <c r="K22" s="316"/>
      <c r="L22" s="316"/>
      <c r="M22" s="314"/>
      <c r="N22" s="318"/>
      <c r="O22" s="285"/>
      <c r="P22" s="285"/>
    </row>
    <row r="23" spans="1:20" x14ac:dyDescent="0.15">
      <c r="B23" s="217"/>
      <c r="C23" s="312"/>
      <c r="D23" s="313"/>
      <c r="E23" s="314"/>
      <c r="F23" s="315"/>
      <c r="G23" s="314"/>
      <c r="H23" s="316"/>
      <c r="I23" s="314"/>
      <c r="J23" s="317"/>
      <c r="K23" s="316"/>
      <c r="L23" s="316"/>
      <c r="M23" s="314"/>
      <c r="N23" s="318"/>
      <c r="O23" s="285"/>
      <c r="P23" s="285"/>
    </row>
    <row r="24" spans="1:20" ht="10.199999999999999" x14ac:dyDescent="0.2">
      <c r="B24" s="290"/>
      <c r="C24" s="291"/>
      <c r="D24" s="292"/>
      <c r="E24" s="319"/>
      <c r="F24" s="319"/>
      <c r="G24" s="229"/>
      <c r="H24" s="230" t="s">
        <v>370</v>
      </c>
      <c r="I24" s="319"/>
      <c r="J24" s="320"/>
      <c r="K24" s="321"/>
      <c r="L24" s="321"/>
      <c r="M24" s="322"/>
      <c r="N24" s="235"/>
      <c r="O24" s="285"/>
      <c r="P24" s="285"/>
    </row>
    <row r="25" spans="1:20" ht="23.4" x14ac:dyDescent="0.15">
      <c r="B25" s="236" t="s">
        <v>348</v>
      </c>
      <c r="C25" s="237" t="s">
        <v>349</v>
      </c>
      <c r="D25" s="238"/>
      <c r="E25" s="239" t="s">
        <v>350</v>
      </c>
      <c r="F25" s="240" t="s">
        <v>364</v>
      </c>
      <c r="G25" s="241"/>
      <c r="H25" s="242"/>
      <c r="I25" s="243"/>
      <c r="J25" s="294" t="s">
        <v>354</v>
      </c>
      <c r="K25" s="242"/>
      <c r="L25" s="242" t="s">
        <v>365</v>
      </c>
      <c r="M25" s="241"/>
      <c r="N25" s="295" t="s">
        <v>366</v>
      </c>
      <c r="O25" s="285"/>
      <c r="P25" s="285"/>
    </row>
    <row r="26" spans="1:20" x14ac:dyDescent="0.15">
      <c r="B26" s="247" t="s">
        <v>359</v>
      </c>
      <c r="C26" s="248">
        <f>C19</f>
        <v>45443</v>
      </c>
      <c r="D26" s="296"/>
      <c r="E26" s="323" t="s">
        <v>371</v>
      </c>
      <c r="F26" s="324">
        <v>60482.33</v>
      </c>
      <c r="G26" s="325"/>
      <c r="H26" s="326"/>
      <c r="I26" s="327" t="s">
        <v>368</v>
      </c>
      <c r="J26" s="328">
        <v>3.5000000000000001E-3</v>
      </c>
      <c r="K26" s="329"/>
      <c r="L26" s="329">
        <v>17.920000000000002</v>
      </c>
      <c r="M26" s="297"/>
      <c r="N26" s="330">
        <v>7446</v>
      </c>
      <c r="O26" s="285"/>
      <c r="P26" s="285"/>
    </row>
    <row r="27" spans="1:20" s="161" customFormat="1" x14ac:dyDescent="0.15">
      <c r="A27" s="176"/>
      <c r="B27" s="267" t="s">
        <v>361</v>
      </c>
      <c r="C27" s="268"/>
      <c r="D27" s="269"/>
      <c r="E27" s="304"/>
      <c r="F27" s="305">
        <f>SUM(F21:F26)</f>
        <v>60482.33</v>
      </c>
      <c r="G27" s="306"/>
      <c r="H27" s="307"/>
      <c r="I27" s="274"/>
      <c r="J27" s="308"/>
      <c r="K27" s="309"/>
      <c r="L27" s="309"/>
      <c r="M27" s="310"/>
      <c r="N27" s="311" t="s">
        <v>372</v>
      </c>
      <c r="O27" s="285"/>
      <c r="P27" s="285"/>
      <c r="R27" s="155"/>
      <c r="S27" s="155"/>
      <c r="T27" s="155"/>
    </row>
    <row r="28" spans="1:20" s="161" customFormat="1" x14ac:dyDescent="0.15">
      <c r="A28" s="176"/>
      <c r="B28" s="279"/>
      <c r="C28" s="280"/>
      <c r="D28" s="281"/>
      <c r="E28" s="331"/>
      <c r="F28" s="332"/>
      <c r="G28" s="333"/>
      <c r="H28" s="334"/>
      <c r="I28" s="223"/>
      <c r="J28" s="335"/>
      <c r="K28" s="336"/>
      <c r="L28" s="336"/>
      <c r="M28" s="337"/>
      <c r="N28" s="338"/>
      <c r="O28" s="285"/>
      <c r="P28" s="285"/>
      <c r="R28" s="155"/>
      <c r="S28" s="155"/>
      <c r="T28" s="155"/>
    </row>
    <row r="29" spans="1:20" s="161" customFormat="1" x14ac:dyDescent="0.15">
      <c r="A29" s="176"/>
      <c r="B29" s="279"/>
      <c r="C29" s="280"/>
      <c r="D29" s="281"/>
      <c r="E29" s="331"/>
      <c r="F29" s="332"/>
      <c r="G29" s="333"/>
      <c r="H29" s="334"/>
      <c r="I29" s="223"/>
      <c r="J29" s="335"/>
      <c r="K29" s="336"/>
      <c r="L29" s="336"/>
      <c r="M29" s="337"/>
      <c r="N29" s="338"/>
      <c r="O29" s="285"/>
      <c r="P29" s="285"/>
      <c r="R29" s="155"/>
      <c r="S29" s="155"/>
      <c r="T29" s="155"/>
    </row>
    <row r="30" spans="1:20" s="161" customFormat="1" x14ac:dyDescent="0.15">
      <c r="A30" s="176"/>
      <c r="B30" s="279"/>
      <c r="C30" s="280"/>
      <c r="D30" s="281"/>
      <c r="E30" s="331"/>
      <c r="F30" s="332"/>
      <c r="G30" s="333"/>
      <c r="H30" s="334"/>
      <c r="I30" s="223"/>
      <c r="J30" s="335"/>
      <c r="K30" s="336"/>
      <c r="L30" s="336"/>
      <c r="M30" s="337"/>
      <c r="N30" s="338"/>
      <c r="O30" s="285"/>
      <c r="P30" s="285"/>
      <c r="R30" s="155"/>
      <c r="S30" s="155"/>
      <c r="T30" s="155"/>
    </row>
    <row r="31" spans="1:20" s="161" customFormat="1" ht="10.199999999999999" x14ac:dyDescent="0.2">
      <c r="A31" s="176"/>
      <c r="B31" s="290"/>
      <c r="C31" s="339"/>
      <c r="D31" s="340"/>
      <c r="E31" s="228"/>
      <c r="F31" s="228"/>
      <c r="G31" s="229"/>
      <c r="H31" s="230" t="s">
        <v>373</v>
      </c>
      <c r="I31" s="341"/>
      <c r="J31" s="342"/>
      <c r="K31" s="343"/>
      <c r="L31" s="343"/>
      <c r="M31" s="344"/>
      <c r="N31" s="345"/>
      <c r="O31" s="285"/>
      <c r="P31" s="285"/>
      <c r="R31" s="155"/>
      <c r="S31" s="155"/>
      <c r="T31" s="155"/>
    </row>
    <row r="32" spans="1:20" s="154" customFormat="1" ht="23.4" x14ac:dyDescent="0.15">
      <c r="A32" s="176"/>
      <c r="B32" s="236" t="s">
        <v>348</v>
      </c>
      <c r="C32" s="237" t="s">
        <v>349</v>
      </c>
      <c r="D32" s="238"/>
      <c r="E32" s="239" t="s">
        <v>350</v>
      </c>
      <c r="F32" s="240" t="s">
        <v>364</v>
      </c>
      <c r="G32" s="241"/>
      <c r="H32" s="242"/>
      <c r="I32" s="243"/>
      <c r="J32" s="294" t="s">
        <v>354</v>
      </c>
      <c r="K32" s="242"/>
      <c r="L32" s="242" t="s">
        <v>365</v>
      </c>
      <c r="M32" s="241"/>
      <c r="N32" s="295" t="s">
        <v>366</v>
      </c>
      <c r="O32" s="285"/>
      <c r="P32" s="285"/>
      <c r="Q32" s="161"/>
      <c r="R32" s="155"/>
      <c r="S32" s="155"/>
      <c r="T32" s="155"/>
    </row>
    <row r="33" spans="1:20" x14ac:dyDescent="0.15">
      <c r="B33" s="247" t="s">
        <v>359</v>
      </c>
      <c r="C33" s="248">
        <f>C26</f>
        <v>45443</v>
      </c>
      <c r="D33" s="296"/>
      <c r="E33" s="323" t="s">
        <v>371</v>
      </c>
      <c r="F33" s="324">
        <v>99569.3</v>
      </c>
      <c r="G33" s="325"/>
      <c r="H33" s="326"/>
      <c r="I33" s="327" t="s">
        <v>368</v>
      </c>
      <c r="J33" s="328">
        <v>1.4999999999999999E-2</v>
      </c>
      <c r="K33" s="329"/>
      <c r="L33" s="329">
        <v>125.48</v>
      </c>
      <c r="M33" s="297"/>
      <c r="N33" s="330">
        <v>7320</v>
      </c>
      <c r="O33" s="285"/>
      <c r="P33" s="285"/>
    </row>
    <row r="34" spans="1:20" x14ac:dyDescent="0.15">
      <c r="B34" s="267" t="s">
        <v>361</v>
      </c>
      <c r="C34" s="268"/>
      <c r="D34" s="269"/>
      <c r="E34" s="304"/>
      <c r="F34" s="305">
        <f>F33</f>
        <v>99569.3</v>
      </c>
      <c r="G34" s="306"/>
      <c r="H34" s="307"/>
      <c r="I34" s="274"/>
      <c r="J34" s="346"/>
      <c r="K34" s="347"/>
      <c r="L34" s="347"/>
      <c r="M34" s="310"/>
      <c r="N34" s="311" t="s">
        <v>374</v>
      </c>
      <c r="O34" s="285"/>
      <c r="P34" s="285"/>
    </row>
    <row r="35" spans="1:20" x14ac:dyDescent="0.15">
      <c r="F35" s="349">
        <f>SUM(F20+F27+F34)</f>
        <v>457321</v>
      </c>
      <c r="O35" s="285"/>
      <c r="P35" s="285"/>
    </row>
    <row r="36" spans="1:20" s="355" customFormat="1" ht="12.75" customHeight="1" x14ac:dyDescent="0.15">
      <c r="A36" s="176"/>
      <c r="B36" s="279"/>
      <c r="C36" s="348"/>
      <c r="D36" s="154"/>
      <c r="E36" s="281"/>
      <c r="F36" s="353"/>
      <c r="G36" s="155"/>
      <c r="H36" s="152"/>
      <c r="I36" s="155"/>
      <c r="J36" s="350"/>
      <c r="K36" s="152"/>
      <c r="L36" s="152"/>
      <c r="M36" s="351"/>
      <c r="N36" s="352"/>
      <c r="O36" s="354"/>
      <c r="P36" s="354"/>
      <c r="Q36" s="161"/>
      <c r="R36" s="155"/>
      <c r="S36" s="155"/>
      <c r="T36" s="155"/>
    </row>
    <row r="37" spans="1:20" s="355" customFormat="1" x14ac:dyDescent="0.15">
      <c r="A37" s="176"/>
      <c r="B37" s="279"/>
      <c r="C37" s="348"/>
      <c r="D37" s="154"/>
      <c r="E37" s="281"/>
      <c r="F37" s="353"/>
      <c r="G37" s="155"/>
      <c r="H37" s="152"/>
      <c r="I37" s="155"/>
      <c r="J37" s="350"/>
      <c r="K37" s="152"/>
      <c r="L37" s="152"/>
      <c r="M37" s="351"/>
      <c r="N37" s="352"/>
      <c r="O37" s="354"/>
      <c r="P37" s="354"/>
      <c r="Q37" s="161"/>
      <c r="R37" s="155"/>
      <c r="S37" s="155"/>
      <c r="T37" s="155"/>
    </row>
    <row r="38" spans="1:20" ht="10.199999999999999" x14ac:dyDescent="0.2">
      <c r="B38" s="290"/>
      <c r="C38" s="356"/>
      <c r="D38" s="357"/>
      <c r="E38" s="228"/>
      <c r="F38" s="228"/>
      <c r="G38" s="229"/>
      <c r="H38" s="230" t="s">
        <v>375</v>
      </c>
      <c r="I38" s="341"/>
      <c r="J38" s="342"/>
      <c r="K38" s="343"/>
      <c r="L38" s="343"/>
      <c r="M38" s="344"/>
      <c r="N38" s="345"/>
      <c r="O38" s="285"/>
      <c r="P38" s="285"/>
    </row>
    <row r="39" spans="1:20" ht="23.4" x14ac:dyDescent="0.15">
      <c r="B39" s="236" t="s">
        <v>348</v>
      </c>
      <c r="C39" s="237" t="s">
        <v>349</v>
      </c>
      <c r="D39" s="358"/>
      <c r="E39" s="239" t="s">
        <v>350</v>
      </c>
      <c r="F39" s="240" t="s">
        <v>364</v>
      </c>
      <c r="G39" s="241"/>
      <c r="H39" s="242"/>
      <c r="I39" s="243"/>
      <c r="J39" s="294" t="s">
        <v>354</v>
      </c>
      <c r="K39" s="242"/>
      <c r="L39" s="242" t="s">
        <v>365</v>
      </c>
      <c r="M39" s="241"/>
      <c r="N39" s="295" t="s">
        <v>366</v>
      </c>
      <c r="O39" s="285"/>
      <c r="P39" s="285"/>
    </row>
    <row r="40" spans="1:20" ht="15.6" x14ac:dyDescent="0.15">
      <c r="B40" s="247" t="s">
        <v>376</v>
      </c>
      <c r="C40" s="248">
        <f>C26</f>
        <v>45443</v>
      </c>
      <c r="D40" s="260"/>
      <c r="E40" s="323" t="s">
        <v>377</v>
      </c>
      <c r="F40" s="324">
        <v>250000</v>
      </c>
      <c r="G40" s="325"/>
      <c r="H40" s="326"/>
      <c r="I40" s="327" t="s">
        <v>368</v>
      </c>
      <c r="J40" s="328">
        <v>0</v>
      </c>
      <c r="K40" s="329"/>
      <c r="L40" s="329">
        <v>0</v>
      </c>
      <c r="M40" s="297"/>
      <c r="N40" s="330" t="s">
        <v>378</v>
      </c>
      <c r="O40" s="285"/>
      <c r="P40" s="285"/>
    </row>
    <row r="41" spans="1:20" s="154" customFormat="1" ht="15.6" x14ac:dyDescent="0.15">
      <c r="A41" s="176"/>
      <c r="B41" s="247" t="s">
        <v>376</v>
      </c>
      <c r="C41" s="259"/>
      <c r="D41" s="260"/>
      <c r="E41" s="323" t="s">
        <v>379</v>
      </c>
      <c r="F41" s="324">
        <v>48379.61</v>
      </c>
      <c r="G41" s="325"/>
      <c r="H41" s="326"/>
      <c r="I41" s="359"/>
      <c r="J41" s="328">
        <v>0</v>
      </c>
      <c r="K41" s="329"/>
      <c r="L41" s="329">
        <v>40.94</v>
      </c>
      <c r="M41" s="297"/>
      <c r="N41" s="330" t="s">
        <v>380</v>
      </c>
      <c r="O41" s="285"/>
      <c r="P41" s="285"/>
      <c r="Q41" s="161"/>
      <c r="R41" s="155"/>
      <c r="S41" s="155"/>
      <c r="T41" s="155"/>
    </row>
    <row r="42" spans="1:20" s="154" customFormat="1" x14ac:dyDescent="0.15">
      <c r="A42" s="176"/>
      <c r="B42" s="360" t="s">
        <v>361</v>
      </c>
      <c r="C42" s="259"/>
      <c r="D42" s="260"/>
      <c r="E42" s="264"/>
      <c r="F42" s="361">
        <f>SUM(F40:F41)</f>
        <v>298379.61</v>
      </c>
      <c r="G42" s="325"/>
      <c r="H42" s="362"/>
      <c r="I42" s="363"/>
      <c r="J42" s="364"/>
      <c r="K42" s="365"/>
      <c r="L42" s="365"/>
      <c r="M42" s="366"/>
      <c r="N42" s="367"/>
      <c r="O42" s="285"/>
      <c r="P42" s="285"/>
      <c r="Q42" s="161"/>
      <c r="R42" s="155"/>
      <c r="S42" s="155"/>
      <c r="T42" s="155"/>
    </row>
    <row r="43" spans="1:20" x14ac:dyDescent="0.15">
      <c r="B43" s="247"/>
      <c r="C43" s="259"/>
      <c r="D43" s="260"/>
      <c r="E43" s="368"/>
      <c r="F43" s="369"/>
      <c r="G43" s="370"/>
      <c r="H43" s="326"/>
      <c r="I43" s="359"/>
      <c r="J43" s="328"/>
      <c r="K43" s="329"/>
      <c r="L43" s="329"/>
      <c r="M43" s="297"/>
      <c r="N43" s="330"/>
      <c r="O43" s="285"/>
      <c r="P43" s="285"/>
    </row>
    <row r="44" spans="1:20" x14ac:dyDescent="0.15">
      <c r="B44" s="371" t="s">
        <v>280</v>
      </c>
      <c r="C44" s="372"/>
      <c r="D44" s="373"/>
      <c r="E44" s="374" t="s">
        <v>381</v>
      </c>
      <c r="F44" s="375"/>
      <c r="G44" s="376"/>
      <c r="H44" s="377"/>
      <c r="I44" s="376"/>
      <c r="J44" s="378"/>
      <c r="K44" s="377"/>
      <c r="L44" s="377"/>
      <c r="M44" s="379"/>
      <c r="N44" s="380"/>
      <c r="O44" s="285"/>
      <c r="P44" s="285"/>
    </row>
    <row r="45" spans="1:20" x14ac:dyDescent="0.15">
      <c r="E45" s="314"/>
      <c r="F45" s="381"/>
      <c r="G45" s="382"/>
      <c r="H45" s="383"/>
      <c r="I45" s="382"/>
      <c r="J45" s="384"/>
      <c r="K45" s="385"/>
      <c r="L45" s="385">
        <f>SUM(L19+L26+L33+L41)</f>
        <v>196.27</v>
      </c>
      <c r="N45" s="386"/>
      <c r="O45" s="285"/>
      <c r="P45" s="285"/>
    </row>
    <row r="46" spans="1:20" x14ac:dyDescent="0.15">
      <c r="E46" s="314"/>
      <c r="F46" s="387"/>
      <c r="G46" s="388"/>
      <c r="H46" s="389"/>
      <c r="I46" s="388"/>
      <c r="J46" s="384"/>
      <c r="K46" s="187"/>
      <c r="N46" s="386"/>
      <c r="O46" s="285"/>
      <c r="P46" s="285"/>
    </row>
    <row r="47" spans="1:20" ht="8.4" thickBot="1" x14ac:dyDescent="0.2">
      <c r="E47" s="314"/>
      <c r="F47" s="387"/>
      <c r="G47" s="388"/>
      <c r="H47" s="389"/>
      <c r="I47" s="388"/>
      <c r="J47" s="384"/>
      <c r="K47" s="187"/>
      <c r="L47" s="187"/>
      <c r="N47" s="386"/>
      <c r="O47" s="285"/>
      <c r="P47" s="285"/>
    </row>
    <row r="48" spans="1:20" ht="10.199999999999999" x14ac:dyDescent="0.2">
      <c r="B48" s="390" t="s">
        <v>382</v>
      </c>
      <c r="C48" s="391"/>
      <c r="D48" s="392"/>
      <c r="E48" s="393"/>
      <c r="F48" s="394"/>
      <c r="G48" s="395"/>
      <c r="H48" s="396"/>
      <c r="O48" s="285"/>
      <c r="P48" s="285"/>
    </row>
    <row r="49" spans="1:20" x14ac:dyDescent="0.15">
      <c r="B49" s="397"/>
      <c r="C49" s="398"/>
      <c r="D49" s="399"/>
      <c r="E49" s="400"/>
      <c r="F49" s="401"/>
      <c r="G49" s="402"/>
      <c r="H49" s="222"/>
      <c r="O49" s="285"/>
      <c r="P49" s="285"/>
    </row>
    <row r="50" spans="1:20" x14ac:dyDescent="0.15">
      <c r="B50" s="403" t="s">
        <v>383</v>
      </c>
      <c r="C50" s="404"/>
      <c r="D50" s="405"/>
      <c r="E50" s="406"/>
      <c r="F50" s="407">
        <f>F13</f>
        <v>246935.95</v>
      </c>
      <c r="G50" s="408"/>
      <c r="H50" s="287"/>
      <c r="O50" s="285"/>
      <c r="P50" s="285"/>
    </row>
    <row r="51" spans="1:20" x14ac:dyDescent="0.15">
      <c r="B51" s="403"/>
      <c r="C51" s="404"/>
      <c r="D51" s="405"/>
      <c r="E51" s="406"/>
      <c r="F51" s="409"/>
      <c r="G51" s="408"/>
      <c r="H51" s="287"/>
      <c r="O51" s="285"/>
      <c r="P51" s="285"/>
    </row>
    <row r="52" spans="1:20" x14ac:dyDescent="0.15">
      <c r="B52" s="403" t="s">
        <v>384</v>
      </c>
      <c r="C52" s="404" t="s">
        <v>385</v>
      </c>
      <c r="D52" s="405"/>
      <c r="E52" s="406"/>
      <c r="F52" s="409">
        <f>SUM(F20+F27+F34)</f>
        <v>457321</v>
      </c>
      <c r="G52" s="408"/>
      <c r="H52" s="287"/>
      <c r="O52" s="285"/>
      <c r="P52" s="285"/>
    </row>
    <row r="53" spans="1:20" x14ac:dyDescent="0.15">
      <c r="B53" s="403" t="s">
        <v>386</v>
      </c>
      <c r="C53" s="404" t="s">
        <v>385</v>
      </c>
      <c r="D53" s="405"/>
      <c r="E53" s="406"/>
      <c r="F53" s="409">
        <f>F42</f>
        <v>298379.61</v>
      </c>
      <c r="G53" s="408"/>
      <c r="H53" s="287"/>
      <c r="I53" s="161"/>
      <c r="J53" s="161"/>
      <c r="K53" s="161"/>
      <c r="L53" s="161"/>
      <c r="M53" s="161"/>
      <c r="N53" s="161"/>
      <c r="O53" s="285"/>
      <c r="P53" s="285"/>
    </row>
    <row r="54" spans="1:20" x14ac:dyDescent="0.15">
      <c r="B54" s="403" t="s">
        <v>387</v>
      </c>
      <c r="C54" s="404"/>
      <c r="D54" s="405"/>
      <c r="E54" s="406"/>
      <c r="F54" s="407">
        <f>SUM(F52:F53)</f>
        <v>755700.61</v>
      </c>
      <c r="G54" s="408"/>
      <c r="H54" s="287"/>
      <c r="O54" s="285"/>
      <c r="P54" s="285"/>
    </row>
    <row r="55" spans="1:20" x14ac:dyDescent="0.15">
      <c r="B55" s="403"/>
      <c r="C55" s="404"/>
      <c r="D55" s="405"/>
      <c r="E55" s="406"/>
      <c r="F55" s="409"/>
      <c r="G55" s="408"/>
      <c r="H55" s="287"/>
      <c r="O55" s="285"/>
      <c r="P55" s="285"/>
    </row>
    <row r="56" spans="1:20" s="161" customFormat="1" x14ac:dyDescent="0.15">
      <c r="A56" s="176"/>
      <c r="B56" s="410" t="s">
        <v>388</v>
      </c>
      <c r="C56" s="404"/>
      <c r="D56" s="405"/>
      <c r="E56" s="411"/>
      <c r="F56" s="407">
        <f>F50+F54</f>
        <v>1002636.56</v>
      </c>
      <c r="G56" s="412"/>
      <c r="H56" s="222"/>
      <c r="I56" s="155"/>
      <c r="J56" s="350"/>
      <c r="K56" s="152"/>
      <c r="L56" s="152"/>
      <c r="M56" s="351"/>
      <c r="N56" s="352"/>
      <c r="O56" s="354"/>
      <c r="P56" s="354"/>
      <c r="R56" s="155"/>
      <c r="S56" s="155"/>
      <c r="T56" s="155"/>
    </row>
    <row r="57" spans="1:20" ht="10.8" thickBot="1" x14ac:dyDescent="0.25">
      <c r="B57" s="413"/>
      <c r="C57" s="414"/>
      <c r="D57" s="415"/>
      <c r="E57" s="416"/>
      <c r="F57" s="417"/>
      <c r="G57" s="418"/>
      <c r="H57" s="287"/>
      <c r="I57" s="419"/>
      <c r="J57" s="419"/>
      <c r="K57" s="419"/>
      <c r="L57" s="419"/>
      <c r="M57" s="419"/>
      <c r="N57" s="419"/>
      <c r="O57" s="285"/>
      <c r="P57" s="285"/>
    </row>
    <row r="58" spans="1:20" ht="10.199999999999999" x14ac:dyDescent="0.2">
      <c r="A58" s="420"/>
      <c r="E58" s="314"/>
      <c r="F58" s="421">
        <f>SUM(F13+F20+F27+F34+F42)</f>
        <v>1002636.56</v>
      </c>
      <c r="G58" s="388"/>
      <c r="H58" s="389"/>
      <c r="O58" s="285"/>
      <c r="P58" s="285"/>
    </row>
    <row r="59" spans="1:20" x14ac:dyDescent="0.15">
      <c r="E59" s="314"/>
      <c r="F59" s="381"/>
      <c r="G59" s="382"/>
      <c r="H59" s="383"/>
      <c r="O59" s="285"/>
      <c r="P59" s="285"/>
    </row>
    <row r="60" spans="1:20" s="419" customFormat="1" ht="10.8" thickBot="1" x14ac:dyDescent="0.25">
      <c r="A60" s="176"/>
      <c r="B60" s="279"/>
      <c r="C60" s="348"/>
      <c r="D60" s="154"/>
      <c r="E60" s="314"/>
      <c r="F60" s="381"/>
      <c r="G60" s="382"/>
      <c r="H60" s="383"/>
      <c r="I60" s="155"/>
      <c r="J60" s="350"/>
      <c r="K60" s="152"/>
      <c r="L60" s="152"/>
      <c r="M60" s="351"/>
      <c r="N60" s="352"/>
      <c r="O60" s="420"/>
      <c r="P60" s="420"/>
      <c r="Q60" s="161"/>
      <c r="R60" s="155"/>
      <c r="S60" s="155"/>
      <c r="T60" s="155"/>
    </row>
    <row r="61" spans="1:20" ht="16.2" x14ac:dyDescent="0.2">
      <c r="B61" s="833" t="s">
        <v>389</v>
      </c>
      <c r="C61" s="834"/>
      <c r="D61" s="834"/>
      <c r="E61" s="835"/>
      <c r="F61" s="835"/>
      <c r="G61" s="836"/>
      <c r="H61" s="422" t="s">
        <v>366</v>
      </c>
      <c r="O61" s="285"/>
      <c r="P61" s="285"/>
    </row>
    <row r="62" spans="1:20" x14ac:dyDescent="0.15">
      <c r="B62" s="423"/>
      <c r="C62" s="424"/>
      <c r="D62" s="425"/>
      <c r="E62" s="426"/>
      <c r="F62" s="426"/>
      <c r="G62" s="402"/>
      <c r="H62" s="186"/>
      <c r="O62" s="285"/>
      <c r="P62" s="285"/>
    </row>
    <row r="63" spans="1:20" x14ac:dyDescent="0.15">
      <c r="B63" s="427" t="s">
        <v>30</v>
      </c>
      <c r="C63" s="404"/>
      <c r="D63" s="405"/>
      <c r="E63" s="428"/>
      <c r="F63" s="429">
        <v>71199.12</v>
      </c>
      <c r="G63" s="430"/>
      <c r="H63" s="330" t="s">
        <v>390</v>
      </c>
      <c r="O63" s="285"/>
      <c r="P63" s="285"/>
    </row>
    <row r="64" spans="1:20" x14ac:dyDescent="0.15">
      <c r="B64" s="431" t="s">
        <v>391</v>
      </c>
      <c r="C64" s="432"/>
      <c r="D64" s="433"/>
      <c r="E64" s="434"/>
      <c r="F64" s="429">
        <v>34047.03</v>
      </c>
      <c r="G64" s="435"/>
      <c r="H64" s="330" t="s">
        <v>392</v>
      </c>
      <c r="O64" s="285"/>
      <c r="P64" s="285"/>
    </row>
    <row r="65" spans="1:20" x14ac:dyDescent="0.15">
      <c r="B65" s="431" t="s">
        <v>34</v>
      </c>
      <c r="C65" s="432"/>
      <c r="D65" s="433"/>
      <c r="E65" s="434"/>
      <c r="F65" s="429">
        <v>15341.86</v>
      </c>
      <c r="G65" s="435"/>
      <c r="H65" s="330" t="s">
        <v>393</v>
      </c>
      <c r="O65" s="285"/>
      <c r="P65" s="285"/>
    </row>
    <row r="66" spans="1:20" x14ac:dyDescent="0.15">
      <c r="B66" s="431" t="s">
        <v>394</v>
      </c>
      <c r="C66" s="432"/>
      <c r="D66" s="433"/>
      <c r="E66" s="434"/>
      <c r="F66" s="436">
        <f>SUM(F63:F65)</f>
        <v>120588.01</v>
      </c>
      <c r="G66" s="435"/>
      <c r="H66" s="437"/>
      <c r="I66" s="388"/>
      <c r="J66" s="384"/>
      <c r="K66" s="187"/>
      <c r="L66" s="187"/>
      <c r="N66" s="386"/>
      <c r="O66" s="285"/>
      <c r="P66" s="285"/>
    </row>
    <row r="67" spans="1:20" ht="8.4" thickBot="1" x14ac:dyDescent="0.2">
      <c r="B67" s="438"/>
      <c r="C67" s="414"/>
      <c r="D67" s="415"/>
      <c r="E67" s="439"/>
      <c r="F67" s="440"/>
      <c r="G67" s="441"/>
      <c r="H67" s="437"/>
      <c r="I67" s="388"/>
      <c r="J67" s="384"/>
      <c r="K67" s="187"/>
      <c r="L67" s="187"/>
      <c r="N67" s="386"/>
      <c r="O67" s="285"/>
      <c r="P67" s="285"/>
    </row>
    <row r="68" spans="1:20" x14ac:dyDescent="0.15">
      <c r="E68" s="314"/>
      <c r="F68" s="442">
        <f>F56+F66</f>
        <v>1123224.57</v>
      </c>
      <c r="G68" s="381"/>
      <c r="H68" s="443"/>
      <c r="I68" s="388"/>
      <c r="J68" s="384"/>
      <c r="K68" s="187"/>
      <c r="L68" s="187"/>
      <c r="N68" s="386"/>
      <c r="O68" s="285"/>
      <c r="P68" s="285"/>
    </row>
    <row r="69" spans="1:20" s="161" customFormat="1" x14ac:dyDescent="0.15">
      <c r="A69" s="176"/>
      <c r="B69" s="313"/>
      <c r="C69" s="218"/>
      <c r="D69" s="172"/>
      <c r="E69" s="444"/>
      <c r="F69" s="445"/>
      <c r="G69" s="446"/>
      <c r="H69" s="437"/>
      <c r="I69" s="388"/>
      <c r="J69" s="384"/>
      <c r="L69" s="187"/>
      <c r="M69" s="351"/>
      <c r="N69" s="386"/>
      <c r="O69" s="285"/>
      <c r="P69" s="285"/>
      <c r="R69" s="155"/>
      <c r="S69" s="155"/>
      <c r="T69" s="155"/>
    </row>
    <row r="70" spans="1:20" s="161" customFormat="1" x14ac:dyDescent="0.15">
      <c r="A70" s="176"/>
      <c r="B70" s="279"/>
      <c r="C70" s="348"/>
      <c r="D70" s="154"/>
      <c r="E70" s="314"/>
      <c r="F70" s="447"/>
      <c r="G70" s="448"/>
      <c r="H70" s="443"/>
      <c r="I70" s="388"/>
      <c r="J70" s="384"/>
      <c r="K70" s="187"/>
      <c r="L70" s="187"/>
      <c r="M70" s="351"/>
      <c r="N70" s="386"/>
      <c r="O70" s="285"/>
      <c r="P70" s="285"/>
      <c r="R70" s="155"/>
      <c r="S70" s="155"/>
      <c r="T70" s="155"/>
    </row>
    <row r="71" spans="1:20" s="161" customFormat="1" x14ac:dyDescent="0.15">
      <c r="A71" s="176"/>
      <c r="B71" s="279"/>
      <c r="C71" s="348"/>
      <c r="D71" s="154"/>
      <c r="E71" s="314"/>
      <c r="F71" s="381"/>
      <c r="G71" s="382"/>
      <c r="H71" s="383"/>
      <c r="I71" s="382"/>
      <c r="J71" s="350"/>
      <c r="K71" s="152"/>
      <c r="L71" s="152"/>
      <c r="M71" s="351"/>
      <c r="N71" s="352"/>
      <c r="O71" s="285"/>
      <c r="P71" s="285"/>
      <c r="R71" s="155"/>
      <c r="S71" s="155"/>
      <c r="T71" s="155"/>
    </row>
    <row r="72" spans="1:20" s="161" customFormat="1" x14ac:dyDescent="0.15">
      <c r="A72" s="176"/>
      <c r="B72" s="279"/>
      <c r="C72" s="348"/>
      <c r="D72" s="154"/>
      <c r="E72" s="281"/>
      <c r="F72" s="353"/>
      <c r="G72" s="155"/>
      <c r="H72" s="383"/>
      <c r="I72" s="382"/>
      <c r="J72" s="384"/>
      <c r="K72" s="187"/>
      <c r="L72" s="187"/>
      <c r="N72" s="449"/>
      <c r="O72" s="285"/>
      <c r="P72" s="285"/>
      <c r="R72" s="155"/>
      <c r="S72" s="155"/>
      <c r="T72" s="155"/>
    </row>
    <row r="73" spans="1:20" s="161" customFormat="1" x14ac:dyDescent="0.15">
      <c r="A73" s="176"/>
      <c r="B73" s="279"/>
      <c r="C73" s="348"/>
      <c r="D73" s="154"/>
      <c r="E73" s="281"/>
      <c r="F73" s="353"/>
      <c r="G73" s="155"/>
      <c r="H73" s="383"/>
      <c r="I73" s="382"/>
      <c r="J73" s="384"/>
      <c r="K73" s="187"/>
      <c r="L73" s="187"/>
      <c r="N73" s="449"/>
      <c r="O73" s="285"/>
      <c r="P73" s="285"/>
      <c r="R73" s="155"/>
      <c r="S73" s="155"/>
      <c r="T73" s="155"/>
    </row>
    <row r="74" spans="1:20" s="161" customFormat="1" x14ac:dyDescent="0.15">
      <c r="A74" s="176"/>
      <c r="B74" s="279"/>
      <c r="C74" s="348"/>
      <c r="D74" s="154"/>
      <c r="E74" s="281"/>
      <c r="F74" s="353"/>
      <c r="G74" s="155"/>
      <c r="H74" s="383"/>
      <c r="I74" s="382"/>
      <c r="J74" s="384"/>
      <c r="K74" s="187"/>
      <c r="L74" s="187"/>
      <c r="N74" s="449"/>
      <c r="O74" s="285"/>
      <c r="P74" s="285"/>
      <c r="R74" s="155"/>
      <c r="S74" s="155"/>
      <c r="T74" s="155"/>
    </row>
    <row r="75" spans="1:20" s="161" customFormat="1" x14ac:dyDescent="0.15">
      <c r="A75" s="176"/>
      <c r="B75" s="279"/>
      <c r="C75" s="348"/>
      <c r="D75" s="154"/>
      <c r="E75" s="281"/>
      <c r="F75" s="353"/>
      <c r="G75" s="155"/>
      <c r="H75" s="383"/>
      <c r="I75" s="382"/>
      <c r="J75" s="384"/>
      <c r="K75" s="187"/>
      <c r="L75" s="187"/>
      <c r="N75" s="449"/>
      <c r="O75" s="285"/>
      <c r="P75" s="285"/>
    </row>
    <row r="76" spans="1:20" x14ac:dyDescent="0.15">
      <c r="H76" s="383"/>
      <c r="I76" s="382"/>
      <c r="J76" s="384"/>
      <c r="K76" s="187"/>
      <c r="L76" s="187"/>
      <c r="M76" s="161"/>
      <c r="N76" s="449"/>
      <c r="O76" s="285"/>
      <c r="P76" s="285"/>
    </row>
    <row r="77" spans="1:20" x14ac:dyDescent="0.15">
      <c r="B77" s="161"/>
      <c r="C77" s="161"/>
      <c r="D77" s="155"/>
      <c r="E77" s="161"/>
      <c r="F77" s="161"/>
      <c r="G77" s="161"/>
      <c r="H77" s="383"/>
      <c r="I77" s="382"/>
      <c r="J77" s="384"/>
      <c r="K77" s="187"/>
      <c r="L77" s="187"/>
      <c r="M77" s="161"/>
      <c r="N77" s="449"/>
      <c r="O77" s="285"/>
      <c r="P77" s="285"/>
    </row>
    <row r="78" spans="1:20" x14ac:dyDescent="0.15">
      <c r="H78" s="383"/>
      <c r="I78" s="382"/>
      <c r="J78" s="384"/>
      <c r="K78" s="187"/>
      <c r="L78" s="187"/>
      <c r="M78" s="161"/>
      <c r="N78" s="449"/>
      <c r="O78" s="285"/>
      <c r="P78" s="285"/>
    </row>
    <row r="79" spans="1:20" x14ac:dyDescent="0.15">
      <c r="H79" s="383"/>
      <c r="I79" s="382"/>
      <c r="J79" s="384"/>
      <c r="K79" s="187"/>
      <c r="L79" s="187"/>
      <c r="M79" s="161"/>
      <c r="N79" s="449"/>
      <c r="O79" s="285"/>
      <c r="P79" s="285"/>
    </row>
    <row r="80" spans="1:20" x14ac:dyDescent="0.15">
      <c r="H80" s="383"/>
      <c r="I80" s="382"/>
      <c r="O80" s="285"/>
      <c r="P80" s="285"/>
    </row>
    <row r="81" spans="1:16" x14ac:dyDescent="0.15">
      <c r="B81" s="161"/>
      <c r="C81" s="161"/>
      <c r="D81" s="155"/>
      <c r="E81" s="161"/>
      <c r="F81" s="161"/>
      <c r="G81" s="161"/>
      <c r="H81" s="383"/>
      <c r="I81" s="382"/>
      <c r="O81" s="285"/>
      <c r="P81" s="285"/>
    </row>
    <row r="82" spans="1:16" s="161" customFormat="1" x14ac:dyDescent="0.15">
      <c r="A82" s="176"/>
      <c r="B82" s="279"/>
      <c r="C82" s="348"/>
      <c r="D82" s="154"/>
      <c r="E82" s="314"/>
      <c r="F82" s="381"/>
      <c r="G82" s="382"/>
      <c r="H82" s="383"/>
      <c r="I82" s="382"/>
      <c r="J82" s="350"/>
      <c r="K82" s="152"/>
      <c r="L82" s="152"/>
      <c r="M82" s="351"/>
      <c r="N82" s="352"/>
      <c r="O82" s="285"/>
      <c r="P82" s="285"/>
    </row>
    <row r="83" spans="1:16" x14ac:dyDescent="0.15">
      <c r="E83" s="314"/>
      <c r="F83" s="381"/>
      <c r="G83" s="382"/>
      <c r="H83" s="383"/>
      <c r="I83" s="382"/>
      <c r="O83" s="285"/>
      <c r="P83" s="285"/>
    </row>
    <row r="84" spans="1:16" x14ac:dyDescent="0.15">
      <c r="E84" s="314"/>
      <c r="F84" s="381"/>
      <c r="G84" s="450"/>
      <c r="H84" s="383"/>
      <c r="I84" s="382"/>
      <c r="O84" s="285"/>
      <c r="P84" s="285"/>
    </row>
    <row r="85" spans="1:16" x14ac:dyDescent="0.15">
      <c r="B85" s="314"/>
      <c r="C85" s="218"/>
      <c r="D85" s="172"/>
      <c r="E85" s="314"/>
      <c r="F85" s="451"/>
      <c r="G85" s="450"/>
      <c r="H85" s="383"/>
      <c r="I85" s="382"/>
      <c r="J85" s="384"/>
      <c r="K85" s="187"/>
      <c r="L85" s="187"/>
      <c r="M85" s="161"/>
      <c r="N85" s="449"/>
      <c r="O85" s="285"/>
      <c r="P85" s="285"/>
    </row>
    <row r="86" spans="1:16" s="161" customFormat="1" x14ac:dyDescent="0.15">
      <c r="A86" s="176"/>
      <c r="B86" s="314"/>
      <c r="C86" s="218"/>
      <c r="D86" s="172"/>
      <c r="E86" s="314"/>
      <c r="F86" s="451"/>
      <c r="G86" s="155"/>
      <c r="H86" s="452"/>
      <c r="I86" s="382"/>
      <c r="J86" s="350"/>
      <c r="K86" s="152"/>
      <c r="L86" s="152"/>
      <c r="M86" s="351"/>
      <c r="N86" s="352"/>
      <c r="O86" s="354"/>
      <c r="P86" s="354"/>
    </row>
    <row r="87" spans="1:16" s="161" customFormat="1" x14ac:dyDescent="0.15">
      <c r="A87" s="176"/>
      <c r="B87" s="279"/>
      <c r="C87" s="348"/>
      <c r="D87" s="154"/>
      <c r="E87" s="281"/>
      <c r="F87" s="353"/>
      <c r="G87" s="155"/>
      <c r="H87" s="452"/>
      <c r="J87" s="350"/>
      <c r="K87" s="152"/>
      <c r="L87" s="152"/>
      <c r="M87" s="351"/>
      <c r="N87" s="352"/>
      <c r="O87" s="354"/>
      <c r="P87" s="354"/>
    </row>
    <row r="88" spans="1:16" s="161" customFormat="1" x14ac:dyDescent="0.15">
      <c r="A88" s="176"/>
      <c r="B88" s="279"/>
      <c r="C88" s="348"/>
      <c r="D88" s="154"/>
      <c r="E88" s="281"/>
      <c r="F88" s="353"/>
      <c r="H88" s="152"/>
      <c r="I88" s="382"/>
      <c r="J88" s="350"/>
      <c r="K88" s="152"/>
      <c r="L88" s="152"/>
      <c r="M88" s="351"/>
      <c r="N88" s="352"/>
      <c r="O88" s="354"/>
      <c r="P88" s="354"/>
    </row>
    <row r="89" spans="1:16" s="161" customFormat="1" x14ac:dyDescent="0.15">
      <c r="A89" s="176"/>
      <c r="B89" s="444"/>
      <c r="C89" s="453"/>
      <c r="D89" s="155"/>
      <c r="E89" s="444"/>
      <c r="G89" s="155"/>
      <c r="H89" s="152"/>
      <c r="I89" s="333"/>
      <c r="J89" s="384"/>
      <c r="K89" s="187"/>
      <c r="L89" s="187"/>
      <c r="N89" s="449"/>
      <c r="O89" s="354"/>
      <c r="P89" s="354"/>
    </row>
    <row r="90" spans="1:16" x14ac:dyDescent="0.15">
      <c r="H90" s="187"/>
      <c r="I90" s="333"/>
      <c r="J90" s="384"/>
      <c r="K90" s="187"/>
      <c r="L90" s="187"/>
      <c r="M90" s="161"/>
      <c r="N90" s="449"/>
      <c r="O90" s="285"/>
      <c r="P90" s="285"/>
    </row>
    <row r="91" spans="1:16" x14ac:dyDescent="0.15">
      <c r="I91" s="333"/>
      <c r="J91" s="384"/>
      <c r="K91" s="187"/>
      <c r="L91" s="187"/>
      <c r="M91" s="161"/>
      <c r="N91" s="449"/>
      <c r="O91" s="285"/>
      <c r="P91" s="285"/>
    </row>
    <row r="92" spans="1:16" x14ac:dyDescent="0.15">
      <c r="I92" s="333"/>
      <c r="J92" s="384"/>
      <c r="K92" s="187"/>
      <c r="L92" s="187"/>
      <c r="M92" s="161"/>
      <c r="N92" s="449"/>
      <c r="O92" s="285"/>
      <c r="P92" s="285"/>
    </row>
    <row r="93" spans="1:16" x14ac:dyDescent="0.15">
      <c r="G93" s="161"/>
      <c r="I93" s="382"/>
      <c r="O93" s="285"/>
      <c r="P93" s="285"/>
    </row>
    <row r="94" spans="1:16" x14ac:dyDescent="0.15">
      <c r="B94" s="444"/>
      <c r="C94" s="453"/>
      <c r="D94" s="155"/>
      <c r="E94" s="444"/>
      <c r="F94" s="161"/>
      <c r="G94" s="161"/>
      <c r="I94" s="382"/>
      <c r="O94" s="186"/>
      <c r="P94" s="186"/>
    </row>
    <row r="95" spans="1:16" x14ac:dyDescent="0.15">
      <c r="B95" s="444"/>
      <c r="C95" s="453"/>
      <c r="D95" s="155"/>
      <c r="E95" s="444"/>
      <c r="F95" s="161"/>
      <c r="G95" s="161"/>
      <c r="H95" s="187"/>
      <c r="I95" s="382"/>
    </row>
    <row r="96" spans="1:16" x14ac:dyDescent="0.15">
      <c r="B96" s="444"/>
      <c r="C96" s="453"/>
      <c r="D96" s="155"/>
      <c r="E96" s="444"/>
      <c r="F96" s="161"/>
      <c r="G96" s="446"/>
      <c r="H96" s="187"/>
      <c r="I96" s="382"/>
    </row>
    <row r="97" spans="1:16" s="161" customFormat="1" x14ac:dyDescent="0.15">
      <c r="A97" s="176"/>
      <c r="B97" s="314"/>
      <c r="C97" s="312"/>
      <c r="D97" s="313"/>
      <c r="E97" s="281"/>
      <c r="F97" s="446"/>
      <c r="G97" s="446"/>
      <c r="H97" s="187"/>
      <c r="I97" s="155"/>
      <c r="J97" s="350"/>
      <c r="K97" s="152"/>
      <c r="L97" s="152"/>
      <c r="M97" s="351"/>
      <c r="N97" s="352"/>
      <c r="O97" s="186"/>
      <c r="P97" s="186"/>
    </row>
    <row r="98" spans="1:16" x14ac:dyDescent="0.15">
      <c r="B98" s="314"/>
      <c r="C98" s="312"/>
      <c r="D98" s="313"/>
      <c r="F98" s="446"/>
      <c r="G98" s="446"/>
      <c r="H98" s="443"/>
    </row>
    <row r="99" spans="1:16" x14ac:dyDescent="0.15">
      <c r="B99" s="314"/>
      <c r="C99" s="312"/>
      <c r="D99" s="313"/>
      <c r="F99" s="446"/>
      <c r="G99" s="446"/>
      <c r="H99" s="443"/>
    </row>
    <row r="100" spans="1:16" x14ac:dyDescent="0.15">
      <c r="B100" s="314"/>
      <c r="C100" s="312"/>
      <c r="D100" s="313"/>
      <c r="F100" s="446"/>
      <c r="G100" s="446"/>
      <c r="H100" s="443"/>
      <c r="I100" s="161"/>
      <c r="J100" s="384"/>
      <c r="K100" s="187"/>
      <c r="L100" s="187"/>
      <c r="M100" s="161"/>
      <c r="N100" s="449"/>
    </row>
    <row r="101" spans="1:16" x14ac:dyDescent="0.15">
      <c r="B101" s="314"/>
      <c r="C101" s="312"/>
      <c r="D101" s="313"/>
      <c r="F101" s="446"/>
      <c r="G101" s="446"/>
      <c r="H101" s="443"/>
      <c r="O101" s="186"/>
      <c r="P101" s="186"/>
    </row>
    <row r="102" spans="1:16" s="161" customFormat="1" x14ac:dyDescent="0.15">
      <c r="A102" s="176"/>
      <c r="B102" s="314"/>
      <c r="C102" s="312"/>
      <c r="D102" s="313"/>
      <c r="E102" s="281"/>
      <c r="F102" s="446"/>
      <c r="G102" s="446"/>
      <c r="H102" s="443"/>
      <c r="I102" s="155"/>
      <c r="J102" s="350"/>
      <c r="K102" s="152"/>
      <c r="L102" s="152"/>
      <c r="M102" s="351"/>
      <c r="N102" s="352"/>
      <c r="O102" s="154"/>
      <c r="P102" s="154"/>
    </row>
    <row r="103" spans="1:16" s="161" customFormat="1" x14ac:dyDescent="0.15">
      <c r="A103" s="176"/>
      <c r="B103" s="314"/>
      <c r="C103" s="312"/>
      <c r="D103" s="313"/>
      <c r="E103" s="281"/>
      <c r="F103" s="446"/>
      <c r="G103" s="446"/>
      <c r="H103" s="443"/>
      <c r="I103" s="155"/>
      <c r="J103" s="350"/>
      <c r="K103" s="152"/>
      <c r="L103" s="152"/>
      <c r="M103" s="351"/>
      <c r="N103" s="352"/>
      <c r="O103" s="154"/>
      <c r="P103" s="154"/>
    </row>
    <row r="104" spans="1:16" x14ac:dyDescent="0.15">
      <c r="B104" s="314"/>
      <c r="C104" s="312"/>
      <c r="D104" s="313"/>
      <c r="F104" s="446"/>
      <c r="G104" s="446"/>
      <c r="H104" s="443"/>
      <c r="O104" s="285"/>
      <c r="P104" s="285"/>
    </row>
    <row r="105" spans="1:16" x14ac:dyDescent="0.15">
      <c r="B105" s="314"/>
      <c r="C105" s="312"/>
      <c r="D105" s="313"/>
      <c r="F105" s="446"/>
      <c r="H105" s="443"/>
      <c r="J105" s="384"/>
      <c r="K105" s="187"/>
      <c r="L105" s="187"/>
      <c r="M105" s="161"/>
      <c r="N105" s="449"/>
      <c r="O105" s="186"/>
      <c r="P105" s="186"/>
    </row>
    <row r="106" spans="1:16" s="161" customFormat="1" x14ac:dyDescent="0.15">
      <c r="A106" s="176"/>
      <c r="B106" s="279"/>
      <c r="C106" s="348"/>
      <c r="D106" s="154"/>
      <c r="E106" s="281"/>
      <c r="F106" s="353"/>
      <c r="G106" s="155"/>
      <c r="H106" s="443"/>
      <c r="I106" s="155"/>
      <c r="J106" s="350"/>
      <c r="K106" s="152"/>
      <c r="L106" s="152"/>
      <c r="M106" s="155"/>
      <c r="N106" s="449"/>
      <c r="O106" s="154"/>
      <c r="P106" s="154"/>
    </row>
    <row r="107" spans="1:16" x14ac:dyDescent="0.15">
      <c r="M107" s="155"/>
      <c r="N107" s="449"/>
    </row>
    <row r="109" spans="1:16" x14ac:dyDescent="0.15">
      <c r="J109" s="384"/>
      <c r="K109" s="187"/>
      <c r="L109" s="187"/>
      <c r="M109" s="161"/>
      <c r="N109" s="449"/>
    </row>
  </sheetData>
  <mergeCells count="2">
    <mergeCell ref="B3:C3"/>
    <mergeCell ref="B61:G61"/>
  </mergeCells>
  <pageMargins left="0.3" right="0.3" top="0.6" bottom="0.4" header="0.3" footer="0.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8647E-279A-44FC-8F14-15734DA08D3A}">
  <sheetPr>
    <tabColor rgb="FF0070C0"/>
  </sheetPr>
  <dimension ref="A1:K90"/>
  <sheetViews>
    <sheetView zoomScale="130" zoomScaleNormal="130" zoomScaleSheetLayoutView="100" workbookViewId="0"/>
  </sheetViews>
  <sheetFormatPr defaultColWidth="17.28515625" defaultRowHeight="7.8" x14ac:dyDescent="0.15"/>
  <cols>
    <col min="1" max="1" width="2.5703125" style="460" customWidth="1"/>
    <col min="2" max="2" width="12.42578125" style="494" customWidth="1"/>
    <col min="3" max="3" width="3.85546875" style="186" customWidth="1"/>
    <col min="4" max="4" width="50.7109375" style="495" customWidth="1"/>
    <col min="5" max="5" width="10.85546875" style="496" customWidth="1"/>
    <col min="6" max="6" width="13.140625" style="497" customWidth="1"/>
    <col min="7" max="7" width="12.5703125" style="498" customWidth="1"/>
    <col min="8" max="8" width="13.5703125" style="497" customWidth="1"/>
    <col min="9" max="9" width="2.85546875" style="461" customWidth="1"/>
    <col min="10" max="10" width="2.42578125" style="461" customWidth="1"/>
    <col min="11" max="16384" width="17.28515625" style="155"/>
  </cols>
  <sheetData>
    <row r="1" spans="1:11" s="135" customFormat="1" x14ac:dyDescent="0.15">
      <c r="A1" s="454"/>
      <c r="B1" s="455"/>
      <c r="C1" s="199"/>
      <c r="D1" s="128" t="s">
        <v>0</v>
      </c>
      <c r="E1" s="456"/>
      <c r="F1" s="457"/>
      <c r="G1" s="458"/>
      <c r="H1" s="457"/>
      <c r="I1" s="459"/>
      <c r="J1" s="459"/>
    </row>
    <row r="2" spans="1:11" s="210" customFormat="1" ht="12" x14ac:dyDescent="0.25">
      <c r="A2" s="732"/>
      <c r="B2" s="733"/>
      <c r="D2" s="201" t="s">
        <v>395</v>
      </c>
    </row>
    <row r="3" spans="1:11" s="716" customFormat="1" ht="10.199999999999999" x14ac:dyDescent="0.2">
      <c r="A3" s="714"/>
      <c r="B3" s="715"/>
      <c r="D3" s="717">
        <v>45413</v>
      </c>
      <c r="E3" s="718"/>
      <c r="F3" s="717"/>
      <c r="G3" s="717"/>
      <c r="H3" s="717"/>
      <c r="I3" s="717"/>
      <c r="J3" s="717"/>
      <c r="K3" s="717"/>
    </row>
    <row r="6" spans="1:11" ht="16.2" x14ac:dyDescent="0.2">
      <c r="B6" s="710"/>
      <c r="C6" s="710"/>
      <c r="D6" s="711" t="s">
        <v>396</v>
      </c>
      <c r="E6" s="712"/>
      <c r="F6" s="713" t="s">
        <v>397</v>
      </c>
      <c r="G6" s="713" t="s">
        <v>398</v>
      </c>
      <c r="H6" s="713" t="s">
        <v>399</v>
      </c>
    </row>
    <row r="7" spans="1:11" x14ac:dyDescent="0.15">
      <c r="B7" s="462"/>
      <c r="C7" s="462"/>
      <c r="D7" s="463"/>
      <c r="E7" s="464"/>
      <c r="F7" s="465"/>
      <c r="G7" s="465"/>
      <c r="H7" s="466"/>
    </row>
    <row r="8" spans="1:11" x14ac:dyDescent="0.15">
      <c r="B8" s="462" t="s">
        <v>400</v>
      </c>
      <c r="C8" s="462"/>
      <c r="D8" s="463" t="s">
        <v>401</v>
      </c>
      <c r="E8" s="464" t="s">
        <v>402</v>
      </c>
      <c r="F8" s="465">
        <v>10000</v>
      </c>
      <c r="G8" s="465">
        <v>0</v>
      </c>
      <c r="H8" s="467">
        <f>F8-G8</f>
        <v>10000</v>
      </c>
    </row>
    <row r="9" spans="1:11" x14ac:dyDescent="0.15">
      <c r="B9" s="462"/>
      <c r="C9" s="462"/>
      <c r="D9" s="468" t="s">
        <v>403</v>
      </c>
      <c r="E9" s="464" t="s">
        <v>402</v>
      </c>
      <c r="F9" s="467">
        <f>SUM(F8:F8)</f>
        <v>10000</v>
      </c>
      <c r="G9" s="467">
        <f>SUM(G8:G8)</f>
        <v>0</v>
      </c>
      <c r="H9" s="467">
        <f>F9-G9</f>
        <v>10000</v>
      </c>
    </row>
    <row r="10" spans="1:11" x14ac:dyDescent="0.15">
      <c r="B10" s="462"/>
      <c r="C10" s="462"/>
      <c r="D10" s="463"/>
      <c r="E10" s="464"/>
      <c r="F10" s="465"/>
      <c r="G10" s="465"/>
      <c r="H10" s="467"/>
    </row>
    <row r="11" spans="1:11" x14ac:dyDescent="0.15">
      <c r="B11" s="462" t="s">
        <v>404</v>
      </c>
      <c r="C11" s="462"/>
      <c r="D11" s="463" t="s">
        <v>405</v>
      </c>
      <c r="E11" s="464" t="s">
        <v>402</v>
      </c>
      <c r="F11" s="465">
        <v>30000</v>
      </c>
      <c r="G11" s="465">
        <v>0</v>
      </c>
      <c r="H11" s="467">
        <f>F11-G11</f>
        <v>30000</v>
      </c>
    </row>
    <row r="12" spans="1:11" x14ac:dyDescent="0.15">
      <c r="B12" s="462" t="s">
        <v>404</v>
      </c>
      <c r="C12" s="462"/>
      <c r="D12" s="463" t="s">
        <v>406</v>
      </c>
      <c r="E12" s="464" t="s">
        <v>402</v>
      </c>
      <c r="F12" s="465">
        <v>50000</v>
      </c>
      <c r="G12" s="465">
        <v>0</v>
      </c>
      <c r="H12" s="467">
        <f>F12-G12</f>
        <v>50000</v>
      </c>
    </row>
    <row r="13" spans="1:11" x14ac:dyDescent="0.15">
      <c r="B13" s="462" t="s">
        <v>404</v>
      </c>
      <c r="C13" s="462"/>
      <c r="D13" s="463" t="s">
        <v>407</v>
      </c>
      <c r="E13" s="464" t="s">
        <v>402</v>
      </c>
      <c r="F13" s="465">
        <v>86000</v>
      </c>
      <c r="G13" s="465">
        <v>85610.7</v>
      </c>
      <c r="H13" s="467">
        <f>F13-G13</f>
        <v>389.30000000000291</v>
      </c>
    </row>
    <row r="14" spans="1:11" x14ac:dyDescent="0.15">
      <c r="B14" s="462"/>
      <c r="C14" s="462"/>
      <c r="D14" s="468" t="s">
        <v>408</v>
      </c>
      <c r="E14" s="464" t="s">
        <v>402</v>
      </c>
      <c r="F14" s="467">
        <f>SUM(F11:F13)</f>
        <v>166000</v>
      </c>
      <c r="G14" s="467">
        <f>SUM(G11:G13)</f>
        <v>85610.7</v>
      </c>
      <c r="H14" s="467">
        <f>F14-G14</f>
        <v>80389.3</v>
      </c>
    </row>
    <row r="15" spans="1:11" x14ac:dyDescent="0.15">
      <c r="B15" s="462"/>
      <c r="C15" s="462"/>
      <c r="D15" s="463"/>
      <c r="E15" s="464"/>
      <c r="F15" s="465"/>
      <c r="G15" s="465"/>
      <c r="H15" s="467"/>
    </row>
    <row r="16" spans="1:11" x14ac:dyDescent="0.15">
      <c r="B16" s="462" t="s">
        <v>409</v>
      </c>
      <c r="C16" s="462"/>
      <c r="D16" s="463" t="s">
        <v>410</v>
      </c>
      <c r="E16" s="464" t="s">
        <v>402</v>
      </c>
      <c r="F16" s="465">
        <v>396629</v>
      </c>
      <c r="G16" s="465">
        <v>438077.51</v>
      </c>
      <c r="H16" s="467">
        <f>F16-G16</f>
        <v>-41448.510000000009</v>
      </c>
    </row>
    <row r="17" spans="2:8" x14ac:dyDescent="0.15">
      <c r="B17" s="462"/>
      <c r="C17" s="462"/>
      <c r="D17" s="468" t="s">
        <v>411</v>
      </c>
      <c r="E17" s="464" t="s">
        <v>402</v>
      </c>
      <c r="F17" s="467">
        <f>SUM(F16:F16)</f>
        <v>396629</v>
      </c>
      <c r="G17" s="467">
        <f>SUM(G16:G16)</f>
        <v>438077.51</v>
      </c>
      <c r="H17" s="467">
        <f>F17-G17</f>
        <v>-41448.510000000009</v>
      </c>
    </row>
    <row r="18" spans="2:8" x14ac:dyDescent="0.15">
      <c r="B18" s="462"/>
      <c r="C18" s="462"/>
      <c r="D18" s="463"/>
      <c r="E18" s="464"/>
      <c r="F18" s="465"/>
      <c r="G18" s="465"/>
      <c r="H18" s="467"/>
    </row>
    <row r="19" spans="2:8" x14ac:dyDescent="0.15">
      <c r="B19" s="462" t="s">
        <v>412</v>
      </c>
      <c r="C19" s="462"/>
      <c r="D19" s="463" t="s">
        <v>413</v>
      </c>
      <c r="E19" s="464" t="s">
        <v>414</v>
      </c>
      <c r="F19" s="465">
        <v>0</v>
      </c>
      <c r="G19" s="465">
        <v>-535.85</v>
      </c>
      <c r="H19" s="467">
        <f>F19-G19</f>
        <v>535.85</v>
      </c>
    </row>
    <row r="20" spans="2:8" x14ac:dyDescent="0.15">
      <c r="B20" s="462"/>
      <c r="C20" s="462"/>
      <c r="D20" s="463"/>
      <c r="E20" s="464"/>
      <c r="F20" s="465"/>
      <c r="G20" s="465"/>
      <c r="H20" s="467"/>
    </row>
    <row r="21" spans="2:8" x14ac:dyDescent="0.15">
      <c r="B21" s="720"/>
      <c r="C21" s="720"/>
      <c r="D21" s="721" t="s">
        <v>415</v>
      </c>
      <c r="E21" s="722"/>
      <c r="F21" s="723">
        <v>0</v>
      </c>
      <c r="G21" s="723">
        <f>G19</f>
        <v>-535.85</v>
      </c>
      <c r="H21" s="724">
        <f>F21-G21</f>
        <v>535.85</v>
      </c>
    </row>
    <row r="22" spans="2:8" x14ac:dyDescent="0.15">
      <c r="B22" s="720"/>
      <c r="C22" s="720"/>
      <c r="D22" s="721" t="s">
        <v>416</v>
      </c>
      <c r="E22" s="722"/>
      <c r="F22" s="723">
        <f>SUM(F9+F14+F16)</f>
        <v>572629</v>
      </c>
      <c r="G22" s="723">
        <f>SUM(G9+G14+G16)</f>
        <v>523688.21</v>
      </c>
      <c r="H22" s="724">
        <f>F22-G22</f>
        <v>48940.789999999979</v>
      </c>
    </row>
    <row r="23" spans="2:8" x14ac:dyDescent="0.15">
      <c r="B23" s="725"/>
      <c r="C23" s="725"/>
      <c r="D23" s="721" t="s">
        <v>417</v>
      </c>
      <c r="E23" s="722"/>
      <c r="F23" s="726">
        <f>SUM(F21:F22)</f>
        <v>572629</v>
      </c>
      <c r="G23" s="726">
        <f>SUM(G21:G22)</f>
        <v>523152.36000000004</v>
      </c>
      <c r="H23" s="724">
        <f>F23-G23</f>
        <v>49476.639999999956</v>
      </c>
    </row>
    <row r="24" spans="2:8" x14ac:dyDescent="0.15">
      <c r="B24" s="470"/>
      <c r="C24" s="470"/>
      <c r="D24" s="471"/>
      <c r="E24" s="472"/>
      <c r="F24" s="473"/>
      <c r="G24" s="474"/>
      <c r="H24" s="473"/>
    </row>
    <row r="25" spans="2:8" x14ac:dyDescent="0.15">
      <c r="B25" s="470"/>
      <c r="C25" s="470"/>
      <c r="D25" s="471"/>
      <c r="E25" s="472"/>
      <c r="F25" s="473"/>
      <c r="G25" s="474"/>
      <c r="H25" s="473"/>
    </row>
    <row r="26" spans="2:8" x14ac:dyDescent="0.15">
      <c r="B26" s="470"/>
      <c r="C26" s="470"/>
      <c r="D26" s="471"/>
      <c r="E26" s="472"/>
      <c r="F26" s="473"/>
      <c r="G26" s="474"/>
      <c r="H26" s="473"/>
    </row>
    <row r="27" spans="2:8" ht="10.199999999999999" x14ac:dyDescent="0.2">
      <c r="B27" s="702"/>
      <c r="C27" s="702"/>
      <c r="D27" s="707" t="s">
        <v>418</v>
      </c>
      <c r="E27" s="708"/>
      <c r="F27" s="704"/>
      <c r="G27" s="709" t="s">
        <v>419</v>
      </c>
      <c r="H27" s="706">
        <v>45382</v>
      </c>
    </row>
    <row r="28" spans="2:8" x14ac:dyDescent="0.15">
      <c r="B28" s="470"/>
      <c r="C28" s="470"/>
      <c r="D28" s="463"/>
      <c r="E28" s="464"/>
      <c r="F28" s="731" t="s">
        <v>690</v>
      </c>
      <c r="G28" s="731" t="s">
        <v>689</v>
      </c>
      <c r="H28" s="730" t="s">
        <v>399</v>
      </c>
    </row>
    <row r="29" spans="2:8" x14ac:dyDescent="0.15">
      <c r="B29" s="476"/>
      <c r="C29" s="476"/>
      <c r="D29" s="477" t="s">
        <v>420</v>
      </c>
      <c r="E29" s="478"/>
      <c r="F29" s="479"/>
      <c r="G29" s="479"/>
      <c r="H29" s="479"/>
    </row>
    <row r="30" spans="2:8" x14ac:dyDescent="0.15">
      <c r="B30" s="462">
        <v>1036</v>
      </c>
      <c r="C30" s="462"/>
      <c r="D30" s="463" t="s">
        <v>421</v>
      </c>
      <c r="E30" s="464" t="s">
        <v>402</v>
      </c>
      <c r="F30" s="465">
        <v>96381.98</v>
      </c>
      <c r="G30" s="465">
        <v>0</v>
      </c>
      <c r="H30" s="466">
        <f>F30-G30</f>
        <v>96381.98</v>
      </c>
    </row>
    <row r="31" spans="2:8" x14ac:dyDescent="0.15">
      <c r="B31" s="462"/>
      <c r="C31" s="462"/>
      <c r="D31" s="463"/>
      <c r="E31" s="464"/>
      <c r="F31" s="466"/>
      <c r="G31" s="465"/>
      <c r="H31" s="466"/>
    </row>
    <row r="32" spans="2:8" x14ac:dyDescent="0.15">
      <c r="B32" s="462"/>
      <c r="C32" s="462"/>
      <c r="D32" s="463" t="s">
        <v>422</v>
      </c>
      <c r="E32" s="464" t="s">
        <v>402</v>
      </c>
      <c r="F32" s="465">
        <v>84697.71</v>
      </c>
      <c r="G32" s="465">
        <v>0</v>
      </c>
      <c r="H32" s="466">
        <f>F32-G32</f>
        <v>84697.71</v>
      </c>
    </row>
    <row r="33" spans="2:8" x14ac:dyDescent="0.15">
      <c r="B33" s="462"/>
      <c r="C33" s="462"/>
      <c r="D33" s="463" t="s">
        <v>423</v>
      </c>
      <c r="E33" s="464" t="s">
        <v>402</v>
      </c>
      <c r="F33" s="465">
        <v>28526</v>
      </c>
      <c r="G33" s="465">
        <v>0</v>
      </c>
      <c r="H33" s="466">
        <f>F33-G33</f>
        <v>28526</v>
      </c>
    </row>
    <row r="34" spans="2:8" x14ac:dyDescent="0.15">
      <c r="B34" s="462"/>
      <c r="C34" s="462"/>
      <c r="D34" s="463" t="s">
        <v>424</v>
      </c>
      <c r="E34" s="464" t="s">
        <v>402</v>
      </c>
      <c r="F34" s="465">
        <v>28526</v>
      </c>
      <c r="G34" s="465">
        <v>0</v>
      </c>
      <c r="H34" s="466">
        <f>F34-G34</f>
        <v>28526</v>
      </c>
    </row>
    <row r="35" spans="2:8" x14ac:dyDescent="0.15">
      <c r="B35" s="462"/>
      <c r="C35" s="462"/>
      <c r="D35" s="463" t="s">
        <v>425</v>
      </c>
      <c r="E35" s="464" t="s">
        <v>402</v>
      </c>
      <c r="F35" s="465">
        <v>0</v>
      </c>
      <c r="G35" s="465">
        <v>0</v>
      </c>
      <c r="H35" s="466">
        <f>F35-G35</f>
        <v>0</v>
      </c>
    </row>
    <row r="36" spans="2:8" x14ac:dyDescent="0.15">
      <c r="B36" s="462"/>
      <c r="C36" s="462"/>
      <c r="D36" s="463" t="s">
        <v>426</v>
      </c>
      <c r="E36" s="464" t="s">
        <v>402</v>
      </c>
      <c r="F36" s="465">
        <v>0</v>
      </c>
      <c r="G36" s="465">
        <v>0</v>
      </c>
      <c r="H36" s="466">
        <f>F36-G36</f>
        <v>0</v>
      </c>
    </row>
    <row r="37" spans="2:8" x14ac:dyDescent="0.15">
      <c r="B37" s="462"/>
      <c r="C37" s="462"/>
      <c r="D37" s="463" t="s">
        <v>427</v>
      </c>
      <c r="E37" s="464" t="s">
        <v>402</v>
      </c>
      <c r="F37" s="466">
        <f>SUM(F32:F36)</f>
        <v>141749.71000000002</v>
      </c>
      <c r="G37" s="466">
        <f>SUM(G32:G36)</f>
        <v>0</v>
      </c>
      <c r="H37" s="466">
        <f>SUM(H32:H36)</f>
        <v>141749.71000000002</v>
      </c>
    </row>
    <row r="38" spans="2:8" x14ac:dyDescent="0.15">
      <c r="B38" s="462"/>
      <c r="C38" s="462"/>
      <c r="D38" s="480"/>
      <c r="E38" s="464"/>
      <c r="F38" s="466"/>
      <c r="G38" s="465"/>
      <c r="H38" s="466"/>
    </row>
    <row r="39" spans="2:8" x14ac:dyDescent="0.15">
      <c r="B39" s="462">
        <v>1036</v>
      </c>
      <c r="C39" s="462"/>
      <c r="D39" s="481" t="s">
        <v>428</v>
      </c>
      <c r="E39" s="464" t="s">
        <v>402</v>
      </c>
      <c r="F39" s="466">
        <v>0</v>
      </c>
      <c r="G39" s="466">
        <v>122817.7</v>
      </c>
      <c r="H39" s="466">
        <f>F39-G39</f>
        <v>-122817.7</v>
      </c>
    </row>
    <row r="40" spans="2:8" x14ac:dyDescent="0.15">
      <c r="B40" s="482">
        <v>1036</v>
      </c>
      <c r="C40" s="482"/>
      <c r="D40" s="483" t="s">
        <v>429</v>
      </c>
      <c r="E40" s="484"/>
      <c r="F40" s="485">
        <f>F30+F37</f>
        <v>238131.69</v>
      </c>
      <c r="G40" s="485">
        <f>SUM(G30:G39)</f>
        <v>122817.7</v>
      </c>
      <c r="H40" s="485">
        <f>F40-G40</f>
        <v>115313.99</v>
      </c>
    </row>
    <row r="41" spans="2:8" x14ac:dyDescent="0.15">
      <c r="B41" s="470"/>
      <c r="C41" s="470"/>
      <c r="D41" s="463"/>
      <c r="E41" s="464"/>
      <c r="F41" s="466"/>
      <c r="G41" s="466"/>
      <c r="H41" s="466"/>
    </row>
    <row r="42" spans="2:8" x14ac:dyDescent="0.15">
      <c r="B42" s="476"/>
      <c r="C42" s="476"/>
      <c r="D42" s="477" t="s">
        <v>430</v>
      </c>
      <c r="E42" s="478"/>
      <c r="F42" s="479"/>
      <c r="G42" s="479"/>
      <c r="H42" s="479"/>
    </row>
    <row r="43" spans="2:8" x14ac:dyDescent="0.15">
      <c r="B43" s="470">
        <v>1034</v>
      </c>
      <c r="C43" s="470"/>
      <c r="D43" s="463" t="s">
        <v>431</v>
      </c>
      <c r="E43" s="464"/>
      <c r="F43" s="465">
        <v>407933.94</v>
      </c>
      <c r="G43" s="465">
        <v>0</v>
      </c>
      <c r="H43" s="466">
        <f>F43-G43</f>
        <v>407933.94</v>
      </c>
    </row>
    <row r="44" spans="2:8" x14ac:dyDescent="0.15">
      <c r="B44" s="470"/>
      <c r="C44" s="470"/>
      <c r="D44" s="463" t="s">
        <v>432</v>
      </c>
      <c r="E44" s="464"/>
      <c r="F44" s="465">
        <v>84697.71</v>
      </c>
      <c r="G44" s="465">
        <v>0</v>
      </c>
      <c r="H44" s="466">
        <f>F44-G44</f>
        <v>84697.71</v>
      </c>
    </row>
    <row r="45" spans="2:8" x14ac:dyDescent="0.15">
      <c r="B45" s="470"/>
      <c r="C45" s="470"/>
      <c r="D45" s="463" t="s">
        <v>433</v>
      </c>
      <c r="E45" s="464"/>
      <c r="F45" s="465">
        <v>0</v>
      </c>
      <c r="G45" s="465">
        <v>167880</v>
      </c>
      <c r="H45" s="466">
        <f>F45-G45</f>
        <v>-167880</v>
      </c>
    </row>
    <row r="46" spans="2:8" x14ac:dyDescent="0.15">
      <c r="B46" s="486"/>
      <c r="C46" s="486"/>
      <c r="D46" s="483" t="s">
        <v>434</v>
      </c>
      <c r="E46" s="487"/>
      <c r="F46" s="485">
        <f>SUM(F43:F45)</f>
        <v>492631.65</v>
      </c>
      <c r="G46" s="485">
        <f>SUM(G43:G45)</f>
        <v>167880</v>
      </c>
      <c r="H46" s="485">
        <f>SUM(H43:H45)</f>
        <v>324751.65000000002</v>
      </c>
    </row>
    <row r="47" spans="2:8" x14ac:dyDescent="0.15">
      <c r="B47" s="470"/>
      <c r="C47" s="470"/>
      <c r="D47" s="463"/>
      <c r="E47" s="464"/>
      <c r="F47" s="466"/>
      <c r="G47" s="466"/>
      <c r="H47" s="466"/>
    </row>
    <row r="48" spans="2:8" x14ac:dyDescent="0.15">
      <c r="B48" s="476">
        <v>1035</v>
      </c>
      <c r="C48" s="476"/>
      <c r="D48" s="477" t="s">
        <v>435</v>
      </c>
      <c r="E48" s="478"/>
      <c r="F48" s="479"/>
      <c r="G48" s="479"/>
      <c r="H48" s="479"/>
    </row>
    <row r="49" spans="2:8" x14ac:dyDescent="0.15">
      <c r="B49" s="470" t="s">
        <v>436</v>
      </c>
      <c r="C49" s="470"/>
      <c r="D49" s="463" t="s">
        <v>437</v>
      </c>
      <c r="E49" s="464"/>
      <c r="F49" s="465">
        <v>51434.3</v>
      </c>
      <c r="G49" s="465">
        <v>0</v>
      </c>
      <c r="H49" s="466">
        <f>F49-G49</f>
        <v>51434.3</v>
      </c>
    </row>
    <row r="50" spans="2:8" x14ac:dyDescent="0.15">
      <c r="B50" s="470" t="s">
        <v>438</v>
      </c>
      <c r="C50" s="470"/>
      <c r="D50" s="463" t="s">
        <v>439</v>
      </c>
      <c r="E50" s="464"/>
      <c r="F50" s="465">
        <v>297025.02</v>
      </c>
      <c r="G50" s="465">
        <v>0</v>
      </c>
      <c r="H50" s="466">
        <f>F50-G50</f>
        <v>297025.02</v>
      </c>
    </row>
    <row r="51" spans="2:8" x14ac:dyDescent="0.15">
      <c r="B51" s="470" t="s">
        <v>440</v>
      </c>
      <c r="C51" s="470"/>
      <c r="D51" s="463" t="s">
        <v>441</v>
      </c>
      <c r="E51" s="464"/>
      <c r="F51" s="465">
        <v>350000</v>
      </c>
      <c r="G51" s="465">
        <v>0</v>
      </c>
      <c r="H51" s="466">
        <f>F51-G51</f>
        <v>350000</v>
      </c>
    </row>
    <row r="52" spans="2:8" x14ac:dyDescent="0.15">
      <c r="B52" s="470" t="s">
        <v>442</v>
      </c>
      <c r="C52" s="470"/>
      <c r="D52" s="463" t="s">
        <v>443</v>
      </c>
      <c r="E52" s="464"/>
      <c r="F52" s="465">
        <v>15826.91</v>
      </c>
      <c r="G52" s="465">
        <v>0</v>
      </c>
      <c r="H52" s="466">
        <v>15826.91</v>
      </c>
    </row>
    <row r="53" spans="2:8" x14ac:dyDescent="0.15">
      <c r="B53" s="486">
        <v>1035</v>
      </c>
      <c r="C53" s="486"/>
      <c r="D53" s="483" t="s">
        <v>444</v>
      </c>
      <c r="E53" s="484"/>
      <c r="F53" s="485">
        <f>SUM(F49:F52)</f>
        <v>714286.2300000001</v>
      </c>
      <c r="G53" s="485">
        <f>SUM(G49:G52)</f>
        <v>0</v>
      </c>
      <c r="H53" s="485">
        <f>SUM(H49:H52)</f>
        <v>714286.2300000001</v>
      </c>
    </row>
    <row r="54" spans="2:8" x14ac:dyDescent="0.15">
      <c r="B54" s="470"/>
      <c r="C54" s="470"/>
      <c r="D54" s="463"/>
      <c r="E54" s="464"/>
      <c r="F54" s="466"/>
      <c r="G54" s="466"/>
      <c r="H54" s="466"/>
    </row>
    <row r="55" spans="2:8" x14ac:dyDescent="0.15">
      <c r="B55" s="486">
        <v>1031</v>
      </c>
      <c r="C55" s="486"/>
      <c r="D55" s="483" t="s">
        <v>445</v>
      </c>
      <c r="E55" s="484"/>
      <c r="F55" s="485">
        <v>11872.03</v>
      </c>
      <c r="G55" s="485">
        <v>0</v>
      </c>
      <c r="H55" s="485">
        <f>F55-G55</f>
        <v>11872.03</v>
      </c>
    </row>
    <row r="56" spans="2:8" x14ac:dyDescent="0.15">
      <c r="B56" s="470"/>
      <c r="C56" s="470"/>
      <c r="D56" s="463"/>
      <c r="E56" s="464"/>
      <c r="F56" s="466"/>
      <c r="G56" s="466"/>
      <c r="H56" s="466"/>
    </row>
    <row r="57" spans="2:8" x14ac:dyDescent="0.15">
      <c r="B57" s="476">
        <v>1030</v>
      </c>
      <c r="C57" s="476"/>
      <c r="D57" s="477" t="s">
        <v>446</v>
      </c>
      <c r="E57" s="478"/>
      <c r="F57" s="479"/>
      <c r="G57" s="479"/>
      <c r="H57" s="479"/>
    </row>
    <row r="58" spans="2:8" x14ac:dyDescent="0.15">
      <c r="B58" s="470" t="s">
        <v>447</v>
      </c>
      <c r="C58" s="470"/>
      <c r="D58" s="463" t="s">
        <v>448</v>
      </c>
      <c r="E58" s="464"/>
      <c r="F58" s="465">
        <v>2400</v>
      </c>
      <c r="G58" s="465">
        <v>0</v>
      </c>
      <c r="H58" s="466">
        <v>2400</v>
      </c>
    </row>
    <row r="59" spans="2:8" x14ac:dyDescent="0.15">
      <c r="B59" s="470" t="s">
        <v>449</v>
      </c>
      <c r="C59" s="470"/>
      <c r="D59" s="463" t="s">
        <v>450</v>
      </c>
      <c r="E59" s="464"/>
      <c r="F59" s="465">
        <v>13729.37</v>
      </c>
      <c r="G59" s="465">
        <v>464.15</v>
      </c>
      <c r="H59" s="466">
        <f>F59-G59</f>
        <v>13265.220000000001</v>
      </c>
    </row>
    <row r="60" spans="2:8" x14ac:dyDescent="0.15">
      <c r="B60" s="470" t="s">
        <v>451</v>
      </c>
      <c r="C60" s="470"/>
      <c r="D60" s="463" t="s">
        <v>452</v>
      </c>
      <c r="E60" s="464"/>
      <c r="F60" s="465">
        <v>5000</v>
      </c>
      <c r="G60" s="465">
        <v>0</v>
      </c>
      <c r="H60" s="466">
        <f>F60-G60</f>
        <v>5000</v>
      </c>
    </row>
    <row r="61" spans="2:8" x14ac:dyDescent="0.15">
      <c r="B61" s="486">
        <v>1030</v>
      </c>
      <c r="C61" s="486"/>
      <c r="D61" s="483" t="s">
        <v>446</v>
      </c>
      <c r="E61" s="484"/>
      <c r="F61" s="485">
        <f>SUM(F58:F60)</f>
        <v>21129.370000000003</v>
      </c>
      <c r="G61" s="485">
        <f>SUM(G58:G60)</f>
        <v>464.15</v>
      </c>
      <c r="H61" s="485">
        <f>F61-G61</f>
        <v>20665.22</v>
      </c>
    </row>
    <row r="62" spans="2:8" x14ac:dyDescent="0.15">
      <c r="B62" s="470"/>
      <c r="C62" s="470"/>
      <c r="D62" s="463"/>
      <c r="E62" s="464"/>
      <c r="F62" s="466"/>
      <c r="G62" s="466"/>
      <c r="H62" s="466"/>
    </row>
    <row r="63" spans="2:8" x14ac:dyDescent="0.15">
      <c r="B63" s="486">
        <v>1048</v>
      </c>
      <c r="C63" s="486"/>
      <c r="D63" s="483" t="s">
        <v>453</v>
      </c>
      <c r="E63" s="484"/>
      <c r="F63" s="485">
        <v>12440.56</v>
      </c>
      <c r="G63" s="485">
        <v>0</v>
      </c>
      <c r="H63" s="485">
        <f>F63-G63</f>
        <v>12440.56</v>
      </c>
    </row>
    <row r="64" spans="2:8" x14ac:dyDescent="0.15">
      <c r="B64" s="489"/>
      <c r="C64" s="489"/>
      <c r="D64" s="490" t="s">
        <v>454</v>
      </c>
      <c r="E64" s="491"/>
      <c r="F64" s="492">
        <f>SUM(F40+F46+F53+F55+F61+F63)</f>
        <v>1490491.5300000005</v>
      </c>
      <c r="G64" s="492">
        <f>SUM(G40+G46+G53+G55+G61+G63)</f>
        <v>291161.85000000003</v>
      </c>
      <c r="H64" s="492">
        <f>SUM(H40+H46+H53+H55+H61+H63)</f>
        <v>1199329.6800000002</v>
      </c>
    </row>
    <row r="65" spans="2:8" x14ac:dyDescent="0.15">
      <c r="B65" s="470"/>
      <c r="C65" s="470"/>
      <c r="D65" s="463"/>
      <c r="E65" s="464"/>
      <c r="F65" s="465"/>
      <c r="G65" s="488"/>
      <c r="H65" s="465"/>
    </row>
    <row r="66" spans="2:8" x14ac:dyDescent="0.15">
      <c r="B66" s="470"/>
      <c r="C66" s="470"/>
      <c r="D66" s="463"/>
      <c r="E66" s="464"/>
      <c r="F66" s="465"/>
      <c r="G66" s="488"/>
      <c r="H66" s="465"/>
    </row>
    <row r="67" spans="2:8" x14ac:dyDescent="0.15">
      <c r="B67" s="470"/>
      <c r="C67" s="470"/>
      <c r="D67" s="463"/>
      <c r="E67" s="464"/>
      <c r="F67" s="465"/>
      <c r="G67" s="488"/>
      <c r="H67" s="465"/>
    </row>
    <row r="68" spans="2:8" ht="10.199999999999999" x14ac:dyDescent="0.2">
      <c r="B68" s="702"/>
      <c r="C68" s="702"/>
      <c r="D68" s="707" t="s">
        <v>455</v>
      </c>
      <c r="E68" s="708"/>
      <c r="F68" s="704"/>
      <c r="G68" s="705"/>
      <c r="H68" s="706"/>
    </row>
    <row r="69" spans="2:8" x14ac:dyDescent="0.15">
      <c r="B69" s="470"/>
      <c r="C69" s="470"/>
      <c r="D69" s="463" t="s">
        <v>383</v>
      </c>
      <c r="E69" s="464"/>
      <c r="F69" s="465"/>
      <c r="G69" s="488"/>
      <c r="H69" s="465">
        <f>'Banking &amp; InvestM 23-24'!F50</f>
        <v>246935.95</v>
      </c>
    </row>
    <row r="70" spans="2:8" x14ac:dyDescent="0.15">
      <c r="B70" s="470"/>
      <c r="C70" s="470"/>
      <c r="D70" s="463" t="s">
        <v>384</v>
      </c>
      <c r="E70" s="464"/>
      <c r="F70" s="465"/>
      <c r="G70" s="488"/>
      <c r="H70" s="465">
        <f>'Banking &amp; InvestM 23-24'!F52</f>
        <v>457321</v>
      </c>
    </row>
    <row r="71" spans="2:8" x14ac:dyDescent="0.15">
      <c r="B71" s="470"/>
      <c r="C71" s="470"/>
      <c r="D71" s="463" t="s">
        <v>456</v>
      </c>
      <c r="E71" s="464"/>
      <c r="F71" s="465"/>
      <c r="G71" s="488"/>
      <c r="H71" s="465">
        <f>'Banking &amp; InvestM 23-24'!F53</f>
        <v>298379.61</v>
      </c>
    </row>
    <row r="72" spans="2:8" x14ac:dyDescent="0.15">
      <c r="B72" s="470"/>
      <c r="C72" s="470"/>
      <c r="D72" s="481" t="s">
        <v>684</v>
      </c>
      <c r="E72" s="464"/>
      <c r="F72" s="466"/>
      <c r="G72" s="488"/>
      <c r="H72" s="466">
        <f>SUM(H69:H71)</f>
        <v>1002636.5599999999</v>
      </c>
    </row>
    <row r="73" spans="2:8" x14ac:dyDescent="0.15">
      <c r="B73" s="719"/>
      <c r="C73" s="470"/>
      <c r="D73" s="463"/>
      <c r="E73" s="464"/>
      <c r="F73" s="465"/>
      <c r="G73" s="488"/>
      <c r="H73" s="466"/>
    </row>
    <row r="74" spans="2:8" x14ac:dyDescent="0.15">
      <c r="B74" s="470"/>
      <c r="C74" s="470"/>
      <c r="D74" s="463"/>
      <c r="E74" s="464"/>
      <c r="F74" s="465"/>
      <c r="G74" s="488"/>
      <c r="H74" s="466"/>
    </row>
    <row r="75" spans="2:8" x14ac:dyDescent="0.15">
      <c r="B75" s="470"/>
      <c r="C75" s="470"/>
      <c r="D75" s="463"/>
      <c r="E75" s="464"/>
      <c r="F75" s="465"/>
      <c r="G75" s="488"/>
      <c r="H75" s="466"/>
    </row>
    <row r="76" spans="2:8" ht="10.199999999999999" x14ac:dyDescent="0.2">
      <c r="B76" s="736"/>
      <c r="C76" s="736"/>
      <c r="D76" s="766" t="s">
        <v>696</v>
      </c>
      <c r="E76" s="703"/>
      <c r="F76" s="704"/>
      <c r="G76" s="705"/>
      <c r="H76" s="706"/>
    </row>
    <row r="77" spans="2:8" x14ac:dyDescent="0.15">
      <c r="B77" s="470"/>
      <c r="C77" s="470"/>
      <c r="D77" s="463" t="s">
        <v>458</v>
      </c>
      <c r="E77" s="464"/>
      <c r="F77" s="465"/>
      <c r="G77" s="488"/>
      <c r="H77" s="465">
        <f>H64</f>
        <v>1199329.6800000002</v>
      </c>
    </row>
    <row r="78" spans="2:8" x14ac:dyDescent="0.15">
      <c r="B78" s="470">
        <v>1022</v>
      </c>
      <c r="C78" s="470"/>
      <c r="D78" s="463" t="s">
        <v>459</v>
      </c>
      <c r="E78" s="464"/>
      <c r="F78" s="465"/>
      <c r="G78" s="488"/>
      <c r="H78" s="465">
        <v>-196693.11</v>
      </c>
    </row>
    <row r="79" spans="2:8" x14ac:dyDescent="0.15">
      <c r="B79" s="470"/>
      <c r="C79" s="470"/>
      <c r="D79" s="481" t="s">
        <v>457</v>
      </c>
      <c r="E79" s="464"/>
      <c r="F79" s="466"/>
      <c r="G79" s="488"/>
      <c r="H79" s="466">
        <f>SUM(H77:H78)</f>
        <v>1002636.5700000002</v>
      </c>
    </row>
    <row r="80" spans="2:8" x14ac:dyDescent="0.15">
      <c r="B80" s="470"/>
      <c r="C80" s="470"/>
      <c r="D80" s="463"/>
      <c r="E80" s="464"/>
      <c r="F80" s="465"/>
      <c r="G80" s="488"/>
      <c r="H80" s="465"/>
    </row>
    <row r="81" spans="1:10" s="461" customFormat="1" x14ac:dyDescent="0.15">
      <c r="A81" s="460"/>
      <c r="B81" s="470"/>
      <c r="C81" s="470"/>
      <c r="D81" s="463"/>
      <c r="E81" s="464"/>
      <c r="F81" s="465"/>
      <c r="G81" s="488"/>
      <c r="H81" s="465"/>
    </row>
    <row r="82" spans="1:10" s="461" customFormat="1" ht="8.4" thickBot="1" x14ac:dyDescent="0.2">
      <c r="A82" s="460"/>
      <c r="B82" s="697"/>
      <c r="C82" s="697"/>
      <c r="D82" s="698"/>
      <c r="E82" s="699"/>
      <c r="F82" s="700"/>
      <c r="G82" s="701"/>
      <c r="H82" s="700"/>
    </row>
    <row r="83" spans="1:10" s="461" customFormat="1" ht="10.199999999999999" x14ac:dyDescent="0.2">
      <c r="A83" s="460"/>
      <c r="B83" s="740"/>
      <c r="C83" s="741"/>
      <c r="D83" s="755" t="s">
        <v>691</v>
      </c>
      <c r="E83" s="756"/>
      <c r="F83" s="757"/>
      <c r="G83" s="742"/>
      <c r="H83" s="758"/>
    </row>
    <row r="84" spans="1:10" s="461" customFormat="1" ht="10.199999999999999" x14ac:dyDescent="0.2">
      <c r="A84" s="460"/>
      <c r="B84" s="743"/>
      <c r="C84" s="744"/>
      <c r="D84" s="738" t="s">
        <v>684</v>
      </c>
      <c r="E84" s="759"/>
      <c r="F84" s="760"/>
      <c r="G84" s="745"/>
      <c r="H84" s="739">
        <f>H72</f>
        <v>1002636.5599999999</v>
      </c>
    </row>
    <row r="85" spans="1:10" ht="10.199999999999999" x14ac:dyDescent="0.2">
      <c r="B85" s="746"/>
      <c r="C85" s="747"/>
      <c r="D85" s="753" t="s">
        <v>687</v>
      </c>
      <c r="E85" s="761"/>
      <c r="F85" s="762"/>
      <c r="G85" s="748"/>
      <c r="H85" s="754">
        <f>H53</f>
        <v>714286.2300000001</v>
      </c>
    </row>
    <row r="86" spans="1:10" s="161" customFormat="1" ht="10.8" thickBot="1" x14ac:dyDescent="0.25">
      <c r="A86" s="460"/>
      <c r="B86" s="749"/>
      <c r="C86" s="750"/>
      <c r="D86" s="727" t="s">
        <v>686</v>
      </c>
      <c r="E86" s="751"/>
      <c r="F86" s="728"/>
      <c r="G86" s="752"/>
      <c r="H86" s="729">
        <f>H84-H85</f>
        <v>288350.32999999984</v>
      </c>
      <c r="I86" s="461"/>
      <c r="J86" s="461"/>
    </row>
    <row r="87" spans="1:10" s="461" customFormat="1" x14ac:dyDescent="0.15">
      <c r="A87" s="460"/>
    </row>
    <row r="88" spans="1:10" s="461" customFormat="1" x14ac:dyDescent="0.15">
      <c r="A88" s="460"/>
    </row>
    <row r="89" spans="1:10" s="461" customFormat="1" x14ac:dyDescent="0.15">
      <c r="A89" s="460"/>
    </row>
    <row r="90" spans="1:10" s="461" customFormat="1" x14ac:dyDescent="0.15">
      <c r="A90" s="460"/>
    </row>
  </sheetData>
  <pageMargins left="0.4" right="0.5" top="0.35" bottom="0.25" header="0.4" footer="0.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448F0-C01D-4B20-AB16-612589054F73}">
  <sheetPr>
    <tabColor rgb="FF0070C0"/>
  </sheetPr>
  <dimension ref="A1:S77"/>
  <sheetViews>
    <sheetView zoomScale="130" zoomScaleNormal="130" zoomScaleSheetLayoutView="115" workbookViewId="0">
      <selection activeCell="B40" sqref="B40"/>
    </sheetView>
  </sheetViews>
  <sheetFormatPr defaultColWidth="14.140625" defaultRowHeight="7.8" x14ac:dyDescent="0.15"/>
  <cols>
    <col min="1" max="1" width="3.140625" style="509" customWidth="1"/>
    <col min="2" max="2" width="14" style="480" customWidth="1"/>
    <col min="3" max="3" width="11.42578125" style="480" customWidth="1"/>
    <col min="4" max="4" width="7.28515625" style="528" bestFit="1" customWidth="1"/>
    <col min="5" max="5" width="2.7109375" style="480" customWidth="1"/>
    <col min="6" max="6" width="8.85546875" style="480" bestFit="1" customWidth="1"/>
    <col min="7" max="7" width="9.28515625" style="554" bestFit="1" customWidth="1"/>
    <col min="8" max="8" width="8.85546875" style="552" bestFit="1" customWidth="1"/>
    <col min="9" max="16" width="9.42578125" style="552" bestFit="1" customWidth="1"/>
    <col min="17" max="17" width="9.42578125" style="555" bestFit="1" customWidth="1"/>
    <col min="18" max="18" width="8.85546875" style="512" customWidth="1"/>
    <col min="19" max="19" width="3.42578125" style="480" customWidth="1"/>
    <col min="20" max="21" width="6.85546875" style="480" customWidth="1"/>
    <col min="22" max="16384" width="14.140625" style="480"/>
  </cols>
  <sheetData>
    <row r="1" spans="1:19" s="506" customFormat="1" x14ac:dyDescent="0.15">
      <c r="A1" s="499"/>
      <c r="B1" s="500"/>
      <c r="C1" s="501"/>
      <c r="D1" s="502"/>
      <c r="E1" s="501"/>
      <c r="F1" s="503"/>
      <c r="G1" s="504"/>
      <c r="H1" s="501"/>
      <c r="I1" s="503"/>
      <c r="J1" s="503"/>
      <c r="K1" s="502"/>
      <c r="L1" s="505"/>
      <c r="Q1" s="507"/>
      <c r="R1" s="508"/>
    </row>
    <row r="2" spans="1:19" s="647" customFormat="1" ht="12" x14ac:dyDescent="0.25">
      <c r="A2" s="640"/>
      <c r="B2" s="641" t="s">
        <v>461</v>
      </c>
      <c r="C2" s="642"/>
      <c r="D2" s="643"/>
      <c r="E2" s="642"/>
      <c r="F2" s="644"/>
      <c r="G2" s="645"/>
      <c r="H2" s="642"/>
      <c r="I2" s="644"/>
      <c r="J2" s="644"/>
      <c r="K2" s="644"/>
      <c r="L2" s="646"/>
      <c r="Q2" s="648"/>
      <c r="R2" s="649"/>
    </row>
    <row r="3" spans="1:19" s="652" customFormat="1" ht="10.199999999999999" x14ac:dyDescent="0.2">
      <c r="A3" s="650"/>
      <c r="B3" s="664">
        <v>45413</v>
      </c>
      <c r="C3" s="664"/>
      <c r="D3" s="651"/>
      <c r="G3" s="653"/>
      <c r="H3" s="654"/>
      <c r="I3" s="651"/>
      <c r="J3" s="651"/>
      <c r="K3" s="655"/>
      <c r="L3" s="656"/>
      <c r="Q3" s="657"/>
      <c r="R3" s="658"/>
    </row>
    <row r="4" spans="1:19" x14ac:dyDescent="0.15">
      <c r="D4" s="510"/>
      <c r="G4" s="511"/>
      <c r="H4" s="512"/>
      <c r="I4" s="512"/>
      <c r="J4" s="512"/>
      <c r="K4" s="512"/>
      <c r="L4" s="512"/>
      <c r="M4" s="512"/>
      <c r="N4" s="512"/>
      <c r="O4" s="512"/>
      <c r="P4" s="512"/>
      <c r="Q4" s="513"/>
    </row>
    <row r="5" spans="1:19" x14ac:dyDescent="0.15">
      <c r="D5" s="510"/>
      <c r="G5" s="511"/>
      <c r="H5" s="512"/>
      <c r="I5" s="512"/>
      <c r="J5" s="512"/>
      <c r="K5" s="512"/>
      <c r="L5" s="512"/>
      <c r="M5" s="512"/>
      <c r="N5" s="512"/>
      <c r="O5" s="512"/>
      <c r="P5" s="512"/>
      <c r="Q5" s="513"/>
    </row>
    <row r="6" spans="1:19" s="515" customFormat="1" x14ac:dyDescent="0.15">
      <c r="A6" s="514"/>
      <c r="B6" s="515" t="s">
        <v>462</v>
      </c>
      <c r="D6" s="514">
        <v>45170</v>
      </c>
      <c r="F6" s="514">
        <v>45200</v>
      </c>
      <c r="G6" s="514">
        <v>45231</v>
      </c>
      <c r="H6" s="514">
        <v>45261</v>
      </c>
      <c r="I6" s="514">
        <v>45292</v>
      </c>
      <c r="J6" s="514">
        <v>45323</v>
      </c>
      <c r="K6" s="514">
        <v>45352</v>
      </c>
      <c r="L6" s="514">
        <v>45383</v>
      </c>
      <c r="M6" s="514">
        <v>45413</v>
      </c>
      <c r="N6" s="514">
        <v>45444</v>
      </c>
      <c r="O6" s="514">
        <v>45474</v>
      </c>
      <c r="P6" s="514">
        <v>45505</v>
      </c>
      <c r="Q6" s="514">
        <v>45536</v>
      </c>
      <c r="R6" s="514" t="s">
        <v>463</v>
      </c>
    </row>
    <row r="7" spans="1:19" s="517" customFormat="1" x14ac:dyDescent="0.15">
      <c r="A7" s="516"/>
      <c r="B7" s="517" t="s">
        <v>464</v>
      </c>
      <c r="D7" s="518" t="s">
        <v>465</v>
      </c>
      <c r="F7" s="516">
        <v>45232</v>
      </c>
      <c r="G7" s="516">
        <v>45263</v>
      </c>
      <c r="H7" s="516">
        <v>45301</v>
      </c>
      <c r="I7" s="516">
        <v>45324</v>
      </c>
      <c r="J7" s="516">
        <v>45357</v>
      </c>
      <c r="K7" s="516">
        <v>45388</v>
      </c>
      <c r="L7" s="516" t="s">
        <v>466</v>
      </c>
      <c r="M7" s="516" t="s">
        <v>466</v>
      </c>
      <c r="N7" s="516" t="s">
        <v>466</v>
      </c>
      <c r="O7" s="516" t="s">
        <v>466</v>
      </c>
      <c r="P7" s="516" t="s">
        <v>466</v>
      </c>
      <c r="Q7" s="516" t="s">
        <v>466</v>
      </c>
      <c r="R7" s="516" t="s">
        <v>467</v>
      </c>
    </row>
    <row r="8" spans="1:19" x14ac:dyDescent="0.15">
      <c r="D8" s="519"/>
      <c r="F8" s="520"/>
      <c r="G8" s="521"/>
      <c r="H8" s="521"/>
      <c r="I8" s="521"/>
      <c r="J8" s="521"/>
      <c r="K8" s="521"/>
      <c r="L8" s="521"/>
      <c r="M8" s="521"/>
      <c r="N8" s="521"/>
      <c r="O8" s="521"/>
      <c r="P8" s="521"/>
      <c r="Q8" s="513"/>
    </row>
    <row r="9" spans="1:19" x14ac:dyDescent="0.15">
      <c r="D9" s="519"/>
      <c r="F9" s="520"/>
      <c r="G9" s="521"/>
      <c r="H9" s="521"/>
      <c r="I9" s="521"/>
      <c r="J9" s="521"/>
      <c r="K9" s="521"/>
      <c r="L9" s="521"/>
      <c r="M9" s="521"/>
      <c r="N9" s="521"/>
      <c r="O9" s="521"/>
      <c r="P9" s="521"/>
      <c r="Q9" s="513"/>
    </row>
    <row r="10" spans="1:19" x14ac:dyDescent="0.15">
      <c r="D10" s="519"/>
      <c r="F10" s="520"/>
      <c r="G10" s="521"/>
      <c r="H10" s="521"/>
      <c r="I10" s="521"/>
      <c r="J10" s="521"/>
      <c r="K10" s="521"/>
      <c r="L10" s="521"/>
      <c r="M10" s="521"/>
      <c r="N10" s="521"/>
      <c r="O10" s="521"/>
      <c r="P10" s="521"/>
      <c r="Q10" s="513"/>
    </row>
    <row r="11" spans="1:19" s="523" customFormat="1" ht="10.199999999999999" x14ac:dyDescent="0.2">
      <c r="A11" s="522"/>
      <c r="B11" s="523" t="s">
        <v>468</v>
      </c>
      <c r="D11" s="524"/>
      <c r="F11" s="525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6"/>
    </row>
    <row r="12" spans="1:19" x14ac:dyDescent="0.15">
      <c r="D12" s="519"/>
      <c r="F12" s="520"/>
      <c r="G12" s="521"/>
      <c r="H12" s="521"/>
      <c r="I12" s="521"/>
      <c r="J12" s="521"/>
      <c r="K12" s="521"/>
      <c r="L12" s="521"/>
      <c r="M12" s="521"/>
      <c r="N12" s="521"/>
      <c r="O12" s="521"/>
      <c r="P12" s="521"/>
      <c r="Q12" s="513"/>
    </row>
    <row r="13" spans="1:19" x14ac:dyDescent="0.15">
      <c r="B13" s="527" t="s">
        <v>469</v>
      </c>
      <c r="C13" s="527"/>
      <c r="D13" s="528">
        <v>377</v>
      </c>
      <c r="E13" s="527"/>
      <c r="F13" s="529">
        <v>376</v>
      </c>
      <c r="G13" s="529">
        <v>373</v>
      </c>
      <c r="H13" s="529">
        <v>365</v>
      </c>
      <c r="I13" s="529">
        <v>363</v>
      </c>
      <c r="J13" s="529">
        <v>360</v>
      </c>
      <c r="K13" s="529">
        <v>361</v>
      </c>
      <c r="L13" s="529">
        <v>364</v>
      </c>
      <c r="M13" s="529">
        <v>365</v>
      </c>
      <c r="N13" s="529">
        <v>0</v>
      </c>
      <c r="O13" s="529">
        <v>0</v>
      </c>
      <c r="P13" s="529">
        <v>0</v>
      </c>
      <c r="Q13" s="529">
        <v>0</v>
      </c>
      <c r="R13" s="529">
        <f>M13-D13</f>
        <v>-12</v>
      </c>
    </row>
    <row r="14" spans="1:19" x14ac:dyDescent="0.15">
      <c r="B14" s="527" t="s">
        <v>470</v>
      </c>
      <c r="C14" s="527"/>
      <c r="D14" s="528">
        <v>11</v>
      </c>
      <c r="E14" s="527"/>
      <c r="F14" s="529">
        <v>11</v>
      </c>
      <c r="G14" s="529">
        <v>11</v>
      </c>
      <c r="H14" s="529">
        <v>12</v>
      </c>
      <c r="I14" s="529">
        <v>12</v>
      </c>
      <c r="J14" s="529">
        <v>12</v>
      </c>
      <c r="K14" s="529">
        <v>12</v>
      </c>
      <c r="L14" s="529">
        <v>12</v>
      </c>
      <c r="M14" s="529">
        <v>12</v>
      </c>
      <c r="N14" s="529">
        <v>0</v>
      </c>
      <c r="O14" s="529">
        <v>0</v>
      </c>
      <c r="P14" s="529">
        <v>0</v>
      </c>
      <c r="Q14" s="529">
        <v>0</v>
      </c>
      <c r="R14" s="529">
        <f>M14-D14</f>
        <v>1</v>
      </c>
    </row>
    <row r="15" spans="1:19" x14ac:dyDescent="0.15">
      <c r="B15" s="527" t="s">
        <v>471</v>
      </c>
      <c r="C15" s="527"/>
      <c r="D15" s="528">
        <v>30</v>
      </c>
      <c r="E15" s="527"/>
      <c r="F15" s="529">
        <v>31</v>
      </c>
      <c r="G15" s="529">
        <v>31</v>
      </c>
      <c r="H15" s="529">
        <v>31</v>
      </c>
      <c r="I15" s="529">
        <v>31</v>
      </c>
      <c r="J15" s="529">
        <v>31</v>
      </c>
      <c r="K15" s="529">
        <v>30</v>
      </c>
      <c r="L15" s="529">
        <v>30</v>
      </c>
      <c r="M15" s="529">
        <v>30</v>
      </c>
      <c r="N15" s="529">
        <v>0</v>
      </c>
      <c r="O15" s="529">
        <v>0</v>
      </c>
      <c r="P15" s="529">
        <v>0</v>
      </c>
      <c r="Q15" s="529">
        <v>0</v>
      </c>
      <c r="R15" s="529">
        <f>M15-D15</f>
        <v>0</v>
      </c>
    </row>
    <row r="16" spans="1:19" x14ac:dyDescent="0.15">
      <c r="B16" s="527" t="s">
        <v>472</v>
      </c>
      <c r="C16" s="527"/>
      <c r="D16" s="528">
        <v>66</v>
      </c>
      <c r="E16" s="527"/>
      <c r="F16" s="529">
        <v>66</v>
      </c>
      <c r="G16" s="529">
        <v>66</v>
      </c>
      <c r="H16" s="529">
        <v>64</v>
      </c>
      <c r="I16" s="529">
        <v>64</v>
      </c>
      <c r="J16" s="529">
        <v>64</v>
      </c>
      <c r="K16" s="529">
        <v>64</v>
      </c>
      <c r="L16" s="529">
        <v>64</v>
      </c>
      <c r="M16" s="529">
        <v>63</v>
      </c>
      <c r="N16" s="529">
        <v>0</v>
      </c>
      <c r="O16" s="529">
        <v>0</v>
      </c>
      <c r="P16" s="529">
        <v>0</v>
      </c>
      <c r="Q16" s="529">
        <v>0</v>
      </c>
      <c r="R16" s="529">
        <f>M16-D16</f>
        <v>-3</v>
      </c>
    </row>
    <row r="17" spans="1:18" x14ac:dyDescent="0.15">
      <c r="B17" s="527" t="s">
        <v>473</v>
      </c>
      <c r="C17" s="527"/>
      <c r="D17" s="528">
        <v>76</v>
      </c>
      <c r="E17" s="527"/>
      <c r="F17" s="529">
        <v>76</v>
      </c>
      <c r="G17" s="529">
        <v>76</v>
      </c>
      <c r="H17" s="529">
        <v>74</v>
      </c>
      <c r="I17" s="529">
        <v>74</v>
      </c>
      <c r="J17" s="529">
        <v>74</v>
      </c>
      <c r="K17" s="529">
        <v>74</v>
      </c>
      <c r="L17" s="529">
        <v>73</v>
      </c>
      <c r="M17" s="529">
        <v>73</v>
      </c>
      <c r="N17" s="529">
        <v>0</v>
      </c>
      <c r="O17" s="529">
        <v>0</v>
      </c>
      <c r="P17" s="529">
        <v>0</v>
      </c>
      <c r="Q17" s="529">
        <v>0</v>
      </c>
      <c r="R17" s="529">
        <f>M17-D17</f>
        <v>-3</v>
      </c>
    </row>
    <row r="18" spans="1:18" s="511" customFormat="1" x14ac:dyDescent="0.15">
      <c r="A18" s="509"/>
      <c r="B18" s="530" t="s">
        <v>474</v>
      </c>
      <c r="C18" s="530"/>
      <c r="D18" s="531">
        <f>SUM(D9:D17)</f>
        <v>560</v>
      </c>
      <c r="E18" s="530"/>
      <c r="F18" s="531">
        <f>SUM(F13:F17)</f>
        <v>560</v>
      </c>
      <c r="G18" s="531">
        <f t="shared" ref="G18:Q18" si="0">SUM(G13:G17)</f>
        <v>557</v>
      </c>
      <c r="H18" s="531">
        <f t="shared" si="0"/>
        <v>546</v>
      </c>
      <c r="I18" s="531">
        <f t="shared" si="0"/>
        <v>544</v>
      </c>
      <c r="J18" s="531">
        <f t="shared" si="0"/>
        <v>541</v>
      </c>
      <c r="K18" s="531">
        <f t="shared" si="0"/>
        <v>541</v>
      </c>
      <c r="L18" s="531">
        <f t="shared" si="0"/>
        <v>543</v>
      </c>
      <c r="M18" s="531">
        <f t="shared" si="0"/>
        <v>543</v>
      </c>
      <c r="N18" s="531">
        <f t="shared" si="0"/>
        <v>0</v>
      </c>
      <c r="O18" s="531">
        <f t="shared" si="0"/>
        <v>0</v>
      </c>
      <c r="P18" s="531">
        <f t="shared" si="0"/>
        <v>0</v>
      </c>
      <c r="Q18" s="531">
        <f t="shared" si="0"/>
        <v>0</v>
      </c>
      <c r="R18" s="531">
        <f>SUM(R13:R17)</f>
        <v>-17</v>
      </c>
    </row>
    <row r="19" spans="1:18" s="536" customFormat="1" x14ac:dyDescent="0.15">
      <c r="A19" s="532"/>
      <c r="B19" s="533" t="s">
        <v>475</v>
      </c>
      <c r="C19" s="533"/>
      <c r="D19" s="534"/>
      <c r="E19" s="533"/>
      <c r="F19" s="535">
        <v>0</v>
      </c>
      <c r="G19" s="535">
        <v>-3</v>
      </c>
      <c r="H19" s="535">
        <f>H18-G18</f>
        <v>-11</v>
      </c>
      <c r="I19" s="535">
        <f t="shared" ref="I19:Q19" si="1">I18-H18</f>
        <v>-2</v>
      </c>
      <c r="J19" s="535">
        <f t="shared" si="1"/>
        <v>-3</v>
      </c>
      <c r="K19" s="535">
        <f t="shared" si="1"/>
        <v>0</v>
      </c>
      <c r="L19" s="535">
        <f t="shared" si="1"/>
        <v>2</v>
      </c>
      <c r="M19" s="535">
        <f t="shared" si="1"/>
        <v>0</v>
      </c>
      <c r="N19" s="535">
        <f t="shared" si="1"/>
        <v>-543</v>
      </c>
      <c r="O19" s="535">
        <f t="shared" si="1"/>
        <v>0</v>
      </c>
      <c r="P19" s="535">
        <f t="shared" si="1"/>
        <v>0</v>
      </c>
      <c r="Q19" s="535">
        <f t="shared" si="1"/>
        <v>0</v>
      </c>
      <c r="R19" s="535">
        <f>M18-L18</f>
        <v>0</v>
      </c>
    </row>
    <row r="20" spans="1:18" x14ac:dyDescent="0.15">
      <c r="B20" s="527"/>
      <c r="C20" s="527"/>
      <c r="E20" s="527"/>
      <c r="F20" s="529"/>
      <c r="G20" s="529"/>
      <c r="H20" s="529"/>
      <c r="I20" s="529"/>
      <c r="J20" s="529"/>
      <c r="K20" s="529"/>
      <c r="L20" s="529"/>
      <c r="M20" s="529"/>
      <c r="N20" s="529"/>
      <c r="O20" s="529"/>
      <c r="P20" s="529"/>
      <c r="Q20" s="529"/>
      <c r="R20" s="529"/>
    </row>
    <row r="21" spans="1:18" x14ac:dyDescent="0.15">
      <c r="B21" s="527" t="s">
        <v>476</v>
      </c>
      <c r="C21" s="527"/>
      <c r="D21" s="528">
        <v>1</v>
      </c>
      <c r="E21" s="527"/>
      <c r="F21" s="529">
        <v>1</v>
      </c>
      <c r="G21" s="529">
        <v>3</v>
      </c>
      <c r="H21" s="529">
        <v>3</v>
      </c>
      <c r="I21" s="529">
        <v>1</v>
      </c>
      <c r="J21" s="529">
        <v>1</v>
      </c>
      <c r="K21" s="529">
        <v>2</v>
      </c>
      <c r="L21" s="529">
        <v>1</v>
      </c>
      <c r="M21" s="529">
        <v>1</v>
      </c>
      <c r="N21" s="529">
        <v>0</v>
      </c>
      <c r="O21" s="529">
        <v>0</v>
      </c>
      <c r="P21" s="529">
        <v>0</v>
      </c>
      <c r="Q21" s="529">
        <v>0</v>
      </c>
      <c r="R21" s="529">
        <v>0</v>
      </c>
    </row>
    <row r="22" spans="1:18" s="511" customFormat="1" x14ac:dyDescent="0.15">
      <c r="A22" s="537"/>
      <c r="B22" s="530" t="s">
        <v>467</v>
      </c>
      <c r="C22" s="530"/>
      <c r="D22" s="531">
        <f>SUM(D18+D21)</f>
        <v>561</v>
      </c>
      <c r="E22" s="530"/>
      <c r="F22" s="531">
        <f>SUM(F18+F19+F21)</f>
        <v>561</v>
      </c>
      <c r="G22" s="531">
        <f t="shared" ref="G22:Q22" si="2">SUM(G18+G19+G21)</f>
        <v>557</v>
      </c>
      <c r="H22" s="531">
        <f t="shared" si="2"/>
        <v>538</v>
      </c>
      <c r="I22" s="531">
        <f t="shared" si="2"/>
        <v>543</v>
      </c>
      <c r="J22" s="531">
        <f t="shared" si="2"/>
        <v>539</v>
      </c>
      <c r="K22" s="531">
        <f t="shared" si="2"/>
        <v>543</v>
      </c>
      <c r="L22" s="531">
        <f t="shared" si="2"/>
        <v>546</v>
      </c>
      <c r="M22" s="531">
        <f t="shared" si="2"/>
        <v>544</v>
      </c>
      <c r="N22" s="531">
        <f t="shared" si="2"/>
        <v>-543</v>
      </c>
      <c r="O22" s="531">
        <f t="shared" si="2"/>
        <v>0</v>
      </c>
      <c r="P22" s="531">
        <f t="shared" si="2"/>
        <v>0</v>
      </c>
      <c r="Q22" s="531">
        <f t="shared" si="2"/>
        <v>0</v>
      </c>
      <c r="R22" s="531">
        <v>0</v>
      </c>
    </row>
    <row r="23" spans="1:18" x14ac:dyDescent="0.15"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8"/>
      <c r="R23" s="538"/>
    </row>
    <row r="24" spans="1:18" s="511" customFormat="1" x14ac:dyDescent="0.15">
      <c r="A24" s="537"/>
      <c r="B24" s="539" t="s">
        <v>477</v>
      </c>
      <c r="C24" s="539"/>
      <c r="D24" s="540">
        <v>16</v>
      </c>
      <c r="E24" s="539"/>
      <c r="F24" s="540">
        <v>22</v>
      </c>
      <c r="G24" s="540">
        <v>25</v>
      </c>
      <c r="H24" s="540">
        <v>25</v>
      </c>
      <c r="I24" s="540">
        <v>25</v>
      </c>
      <c r="J24" s="540">
        <v>24</v>
      </c>
      <c r="K24" s="540">
        <v>23</v>
      </c>
      <c r="L24" s="540">
        <v>23</v>
      </c>
      <c r="M24" s="540">
        <v>23</v>
      </c>
      <c r="N24" s="540">
        <v>0</v>
      </c>
      <c r="O24" s="540">
        <v>0</v>
      </c>
      <c r="P24" s="540">
        <v>0</v>
      </c>
      <c r="Q24" s="540">
        <v>0</v>
      </c>
      <c r="R24" s="540">
        <v>0</v>
      </c>
    </row>
    <row r="25" spans="1:18" x14ac:dyDescent="0.15">
      <c r="F25" s="538"/>
      <c r="G25" s="538"/>
      <c r="H25" s="538"/>
      <c r="I25" s="538"/>
      <c r="J25" s="538"/>
      <c r="K25" s="538"/>
      <c r="L25" s="538"/>
      <c r="M25" s="538"/>
      <c r="N25" s="538"/>
      <c r="O25" s="538"/>
      <c r="P25" s="538"/>
      <c r="Q25" s="538"/>
    </row>
    <row r="26" spans="1:18" x14ac:dyDescent="0.15">
      <c r="F26" s="538"/>
      <c r="G26" s="538"/>
      <c r="H26" s="538"/>
      <c r="I26" s="538"/>
      <c r="J26" s="538"/>
      <c r="K26" s="538"/>
      <c r="L26" s="538"/>
      <c r="M26" s="538"/>
      <c r="N26" s="538"/>
      <c r="O26" s="538"/>
      <c r="P26" s="538"/>
      <c r="Q26" s="538"/>
    </row>
    <row r="27" spans="1:18" x14ac:dyDescent="0.15">
      <c r="F27" s="538"/>
      <c r="G27" s="538"/>
      <c r="H27" s="538"/>
      <c r="I27" s="538"/>
      <c r="J27" s="538"/>
      <c r="K27" s="538"/>
      <c r="L27" s="538"/>
      <c r="M27" s="538"/>
      <c r="N27" s="538"/>
      <c r="O27" s="538"/>
      <c r="P27" s="538"/>
      <c r="Q27" s="538"/>
    </row>
    <row r="28" spans="1:18" s="543" customFormat="1" ht="10.199999999999999" x14ac:dyDescent="0.2">
      <c r="A28" s="522"/>
      <c r="B28" s="523" t="s">
        <v>478</v>
      </c>
      <c r="C28" s="523"/>
      <c r="D28" s="541"/>
      <c r="E28" s="523"/>
      <c r="F28" s="541"/>
      <c r="G28" s="541"/>
      <c r="H28" s="541"/>
      <c r="I28" s="541"/>
      <c r="J28" s="541"/>
      <c r="K28" s="541"/>
      <c r="L28" s="541"/>
      <c r="M28" s="541"/>
      <c r="N28" s="541"/>
      <c r="O28" s="541"/>
      <c r="P28" s="541"/>
      <c r="Q28" s="541"/>
      <c r="R28" s="542"/>
    </row>
    <row r="29" spans="1:18" x14ac:dyDescent="0.15">
      <c r="F29" s="538"/>
      <c r="G29" s="538"/>
      <c r="H29" s="538"/>
      <c r="I29" s="538"/>
      <c r="J29" s="538"/>
      <c r="K29" s="538"/>
      <c r="L29" s="538"/>
      <c r="M29" s="538"/>
      <c r="N29" s="538"/>
      <c r="O29" s="538"/>
      <c r="P29" s="538"/>
      <c r="Q29" s="538"/>
    </row>
    <row r="30" spans="1:18" x14ac:dyDescent="0.15">
      <c r="B30" s="480" t="s">
        <v>479</v>
      </c>
      <c r="D30" s="528">
        <v>0</v>
      </c>
      <c r="F30" s="538">
        <f>F13-D13</f>
        <v>-1</v>
      </c>
      <c r="G30" s="538">
        <f t="shared" ref="G30:M34" si="3">G13-F13</f>
        <v>-3</v>
      </c>
      <c r="H30" s="538">
        <f t="shared" si="3"/>
        <v>-8</v>
      </c>
      <c r="I30" s="538">
        <f t="shared" si="3"/>
        <v>-2</v>
      </c>
      <c r="J30" s="538">
        <f t="shared" si="3"/>
        <v>-3</v>
      </c>
      <c r="K30" s="538">
        <f t="shared" si="3"/>
        <v>1</v>
      </c>
      <c r="L30" s="538">
        <f t="shared" si="3"/>
        <v>3</v>
      </c>
      <c r="M30" s="538">
        <f t="shared" si="3"/>
        <v>1</v>
      </c>
      <c r="N30" s="538">
        <v>0</v>
      </c>
      <c r="O30" s="538">
        <v>0</v>
      </c>
      <c r="P30" s="538">
        <v>0</v>
      </c>
      <c r="Q30" s="538">
        <v>0</v>
      </c>
      <c r="R30" s="538">
        <f>SUM(F30:Q30)</f>
        <v>-12</v>
      </c>
    </row>
    <row r="31" spans="1:18" x14ac:dyDescent="0.15">
      <c r="B31" s="480" t="s">
        <v>480</v>
      </c>
      <c r="D31" s="528">
        <v>0</v>
      </c>
      <c r="F31" s="538">
        <f>F14-D14</f>
        <v>0</v>
      </c>
      <c r="G31" s="538">
        <f t="shared" si="3"/>
        <v>0</v>
      </c>
      <c r="H31" s="538">
        <f t="shared" si="3"/>
        <v>1</v>
      </c>
      <c r="I31" s="538">
        <f t="shared" si="3"/>
        <v>0</v>
      </c>
      <c r="J31" s="538">
        <f>J14-I14</f>
        <v>0</v>
      </c>
      <c r="K31" s="538">
        <f>K14-J14</f>
        <v>0</v>
      </c>
      <c r="L31" s="538">
        <f>L14-K14</f>
        <v>0</v>
      </c>
      <c r="M31" s="538">
        <f>M14-L14</f>
        <v>0</v>
      </c>
      <c r="N31" s="538">
        <v>0</v>
      </c>
      <c r="O31" s="538">
        <v>0</v>
      </c>
      <c r="P31" s="538">
        <v>0</v>
      </c>
      <c r="Q31" s="538">
        <v>0</v>
      </c>
      <c r="R31" s="538">
        <f t="shared" ref="R31:R34" si="4">SUM(F31:Q31)</f>
        <v>1</v>
      </c>
    </row>
    <row r="32" spans="1:18" x14ac:dyDescent="0.15">
      <c r="B32" s="480" t="s">
        <v>481</v>
      </c>
      <c r="D32" s="528">
        <v>0</v>
      </c>
      <c r="F32" s="538">
        <f>F15-D15</f>
        <v>1</v>
      </c>
      <c r="G32" s="538">
        <f t="shared" si="3"/>
        <v>0</v>
      </c>
      <c r="H32" s="538">
        <f t="shared" si="3"/>
        <v>0</v>
      </c>
      <c r="I32" s="538">
        <f t="shared" si="3"/>
        <v>0</v>
      </c>
      <c r="J32" s="538">
        <f t="shared" si="3"/>
        <v>0</v>
      </c>
      <c r="K32" s="538">
        <f t="shared" si="3"/>
        <v>-1</v>
      </c>
      <c r="L32" s="538">
        <f t="shared" si="3"/>
        <v>0</v>
      </c>
      <c r="M32" s="538">
        <f t="shared" si="3"/>
        <v>0</v>
      </c>
      <c r="N32" s="538">
        <v>0</v>
      </c>
      <c r="O32" s="538">
        <v>0</v>
      </c>
      <c r="P32" s="538">
        <v>0</v>
      </c>
      <c r="Q32" s="538">
        <v>0</v>
      </c>
      <c r="R32" s="538">
        <f t="shared" si="4"/>
        <v>0</v>
      </c>
    </row>
    <row r="33" spans="1:18" x14ac:dyDescent="0.15">
      <c r="B33" s="480" t="s">
        <v>482</v>
      </c>
      <c r="D33" s="528">
        <v>0</v>
      </c>
      <c r="F33" s="538">
        <f>F16-D16</f>
        <v>0</v>
      </c>
      <c r="G33" s="538">
        <f t="shared" si="3"/>
        <v>0</v>
      </c>
      <c r="H33" s="538">
        <f t="shared" si="3"/>
        <v>-2</v>
      </c>
      <c r="I33" s="538">
        <f t="shared" si="3"/>
        <v>0</v>
      </c>
      <c r="J33" s="538">
        <f t="shared" si="3"/>
        <v>0</v>
      </c>
      <c r="K33" s="538">
        <f t="shared" si="3"/>
        <v>0</v>
      </c>
      <c r="L33" s="538">
        <f t="shared" si="3"/>
        <v>0</v>
      </c>
      <c r="M33" s="538">
        <f t="shared" si="3"/>
        <v>-1</v>
      </c>
      <c r="N33" s="538">
        <v>0</v>
      </c>
      <c r="O33" s="538">
        <v>0</v>
      </c>
      <c r="P33" s="538">
        <v>0</v>
      </c>
      <c r="Q33" s="538">
        <v>0</v>
      </c>
      <c r="R33" s="538">
        <f t="shared" si="4"/>
        <v>-3</v>
      </c>
    </row>
    <row r="34" spans="1:18" x14ac:dyDescent="0.15">
      <c r="B34" s="480" t="s">
        <v>483</v>
      </c>
      <c r="D34" s="528">
        <v>0</v>
      </c>
      <c r="F34" s="538">
        <f>F17-D17</f>
        <v>0</v>
      </c>
      <c r="G34" s="538">
        <f t="shared" si="3"/>
        <v>0</v>
      </c>
      <c r="H34" s="538">
        <f t="shared" si="3"/>
        <v>-2</v>
      </c>
      <c r="I34" s="538">
        <f t="shared" si="3"/>
        <v>0</v>
      </c>
      <c r="J34" s="538">
        <f t="shared" si="3"/>
        <v>0</v>
      </c>
      <c r="K34" s="538">
        <f t="shared" si="3"/>
        <v>0</v>
      </c>
      <c r="L34" s="538">
        <f t="shared" si="3"/>
        <v>-1</v>
      </c>
      <c r="M34" s="538">
        <f t="shared" si="3"/>
        <v>0</v>
      </c>
      <c r="N34" s="538">
        <v>0</v>
      </c>
      <c r="O34" s="538">
        <v>0</v>
      </c>
      <c r="P34" s="538">
        <v>0</v>
      </c>
      <c r="Q34" s="538">
        <v>0</v>
      </c>
      <c r="R34" s="538">
        <f t="shared" si="4"/>
        <v>-3</v>
      </c>
    </row>
    <row r="35" spans="1:18" s="511" customFormat="1" x14ac:dyDescent="0.15">
      <c r="A35" s="537"/>
      <c r="B35" s="544" t="s">
        <v>467</v>
      </c>
      <c r="C35" s="544"/>
      <c r="D35" s="545">
        <f>SUM(D30:D34)</f>
        <v>0</v>
      </c>
      <c r="E35" s="544"/>
      <c r="F35" s="546">
        <f>SUM(F30:F34)</f>
        <v>0</v>
      </c>
      <c r="G35" s="546">
        <f t="shared" ref="G35:R35" si="5">SUM(G30:G34)</f>
        <v>-3</v>
      </c>
      <c r="H35" s="546">
        <f t="shared" si="5"/>
        <v>-11</v>
      </c>
      <c r="I35" s="546">
        <f t="shared" si="5"/>
        <v>-2</v>
      </c>
      <c r="J35" s="546">
        <f>SUM(J30:J34)</f>
        <v>-3</v>
      </c>
      <c r="K35" s="546">
        <f t="shared" si="5"/>
        <v>0</v>
      </c>
      <c r="L35" s="546">
        <f t="shared" si="5"/>
        <v>2</v>
      </c>
      <c r="M35" s="546">
        <f t="shared" si="5"/>
        <v>0</v>
      </c>
      <c r="N35" s="546">
        <f t="shared" si="5"/>
        <v>0</v>
      </c>
      <c r="O35" s="546">
        <f t="shared" si="5"/>
        <v>0</v>
      </c>
      <c r="P35" s="546">
        <f t="shared" si="5"/>
        <v>0</v>
      </c>
      <c r="Q35" s="546">
        <f t="shared" si="5"/>
        <v>0</v>
      </c>
      <c r="R35" s="546">
        <f t="shared" si="5"/>
        <v>-17</v>
      </c>
    </row>
    <row r="36" spans="1:18" x14ac:dyDescent="0.15">
      <c r="F36" s="538"/>
      <c r="G36" s="538"/>
      <c r="H36" s="538"/>
      <c r="I36" s="538"/>
      <c r="J36" s="538"/>
      <c r="K36" s="538"/>
      <c r="L36" s="538"/>
      <c r="M36" s="538"/>
      <c r="N36" s="538"/>
      <c r="O36" s="538"/>
      <c r="P36" s="538"/>
      <c r="Q36" s="538"/>
    </row>
    <row r="37" spans="1:18" x14ac:dyDescent="0.15"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8"/>
    </row>
    <row r="38" spans="1:18" x14ac:dyDescent="0.15">
      <c r="F38" s="538"/>
      <c r="G38" s="538"/>
      <c r="H38" s="538"/>
      <c r="I38" s="538"/>
      <c r="J38" s="538"/>
      <c r="K38" s="538"/>
      <c r="L38" s="538"/>
      <c r="M38" s="538"/>
      <c r="N38" s="538"/>
      <c r="O38" s="538"/>
      <c r="P38" s="538"/>
      <c r="Q38" s="538"/>
    </row>
    <row r="39" spans="1:18" s="543" customFormat="1" ht="10.199999999999999" x14ac:dyDescent="0.2">
      <c r="A39" s="522"/>
      <c r="B39" s="523" t="s">
        <v>484</v>
      </c>
      <c r="C39" s="523"/>
      <c r="D39" s="541"/>
      <c r="E39" s="523"/>
      <c r="F39" s="541"/>
      <c r="G39" s="541"/>
      <c r="H39" s="541"/>
      <c r="I39" s="541"/>
      <c r="J39" s="541"/>
      <c r="K39" s="541"/>
      <c r="L39" s="541"/>
      <c r="M39" s="541"/>
      <c r="N39" s="541"/>
      <c r="O39" s="541"/>
      <c r="P39" s="541"/>
      <c r="Q39" s="541"/>
      <c r="R39" s="542"/>
    </row>
    <row r="40" spans="1:18" x14ac:dyDescent="0.15">
      <c r="F40" s="538"/>
      <c r="G40" s="538"/>
      <c r="H40" s="538"/>
      <c r="I40" s="538"/>
      <c r="J40" s="538"/>
      <c r="K40" s="538"/>
      <c r="L40" s="538"/>
      <c r="M40" s="538"/>
      <c r="N40" s="538"/>
      <c r="O40" s="538"/>
      <c r="P40" s="538"/>
      <c r="Q40" s="538"/>
    </row>
    <row r="41" spans="1:18" x14ac:dyDescent="0.15">
      <c r="B41" s="480" t="s">
        <v>485</v>
      </c>
      <c r="D41" s="528">
        <v>0</v>
      </c>
      <c r="F41" s="519">
        <v>0</v>
      </c>
      <c r="G41" s="519">
        <v>0</v>
      </c>
      <c r="H41" s="519">
        <v>0</v>
      </c>
      <c r="I41" s="519">
        <v>0</v>
      </c>
      <c r="J41" s="519">
        <v>0</v>
      </c>
      <c r="K41" s="519">
        <v>0</v>
      </c>
      <c r="L41" s="519">
        <v>0</v>
      </c>
      <c r="M41" s="519">
        <v>0</v>
      </c>
      <c r="N41" s="519">
        <v>0</v>
      </c>
      <c r="O41" s="519">
        <v>0</v>
      </c>
      <c r="P41" s="519">
        <v>0</v>
      </c>
      <c r="Q41" s="519">
        <v>0</v>
      </c>
      <c r="R41" s="519">
        <v>0</v>
      </c>
    </row>
    <row r="42" spans="1:18" x14ac:dyDescent="0.15">
      <c r="B42" s="480" t="s">
        <v>486</v>
      </c>
      <c r="D42" s="528">
        <v>0</v>
      </c>
      <c r="F42" s="519">
        <v>0</v>
      </c>
      <c r="G42" s="519">
        <v>0</v>
      </c>
      <c r="H42" s="519">
        <v>0</v>
      </c>
      <c r="I42" s="519">
        <v>0</v>
      </c>
      <c r="J42" s="519">
        <v>0</v>
      </c>
      <c r="K42" s="519">
        <v>0</v>
      </c>
      <c r="L42" s="519">
        <v>0</v>
      </c>
      <c r="M42" s="519">
        <v>0</v>
      </c>
      <c r="N42" s="519">
        <v>0</v>
      </c>
      <c r="O42" s="519">
        <v>0</v>
      </c>
      <c r="P42" s="519">
        <v>0</v>
      </c>
      <c r="Q42" s="519">
        <v>0</v>
      </c>
      <c r="R42" s="519">
        <v>0</v>
      </c>
    </row>
    <row r="43" spans="1:18" x14ac:dyDescent="0.15">
      <c r="B43" s="480" t="s">
        <v>487</v>
      </c>
      <c r="D43" s="528">
        <v>0</v>
      </c>
      <c r="F43" s="519">
        <v>0</v>
      </c>
      <c r="G43" s="519">
        <v>0</v>
      </c>
      <c r="H43" s="519">
        <v>2</v>
      </c>
      <c r="I43" s="519">
        <v>0</v>
      </c>
      <c r="J43" s="519">
        <v>0</v>
      </c>
      <c r="K43" s="519">
        <v>0</v>
      </c>
      <c r="L43" s="519">
        <v>0</v>
      </c>
      <c r="M43" s="519">
        <v>0</v>
      </c>
      <c r="N43" s="519">
        <v>0</v>
      </c>
      <c r="O43" s="519">
        <v>0</v>
      </c>
      <c r="P43" s="519">
        <v>0</v>
      </c>
      <c r="Q43" s="519">
        <v>0</v>
      </c>
      <c r="R43" s="519">
        <v>0</v>
      </c>
    </row>
    <row r="44" spans="1:18" x14ac:dyDescent="0.15">
      <c r="B44" s="480" t="s">
        <v>488</v>
      </c>
      <c r="D44" s="528">
        <v>0</v>
      </c>
      <c r="F44" s="519">
        <v>0</v>
      </c>
      <c r="G44" s="519">
        <v>0</v>
      </c>
      <c r="H44" s="519">
        <v>0</v>
      </c>
      <c r="I44" s="519">
        <v>2</v>
      </c>
      <c r="J44" s="519">
        <v>0</v>
      </c>
      <c r="K44" s="519">
        <v>0</v>
      </c>
      <c r="L44" s="519">
        <v>0</v>
      </c>
      <c r="M44" s="519">
        <v>0</v>
      </c>
      <c r="N44" s="519">
        <v>0</v>
      </c>
      <c r="O44" s="519">
        <v>0</v>
      </c>
      <c r="P44" s="519">
        <v>0</v>
      </c>
      <c r="Q44" s="519">
        <v>0</v>
      </c>
      <c r="R44" s="519">
        <v>0</v>
      </c>
    </row>
    <row r="45" spans="1:18" x14ac:dyDescent="0.15">
      <c r="B45" s="480" t="s">
        <v>489</v>
      </c>
      <c r="D45" s="528">
        <v>0</v>
      </c>
      <c r="F45" s="519">
        <v>0</v>
      </c>
      <c r="G45" s="519">
        <v>0</v>
      </c>
      <c r="H45" s="519">
        <v>0</v>
      </c>
      <c r="I45" s="519">
        <v>0</v>
      </c>
      <c r="J45" s="519">
        <v>0</v>
      </c>
      <c r="K45" s="519">
        <v>1</v>
      </c>
      <c r="L45" s="519">
        <v>0</v>
      </c>
      <c r="M45" s="519">
        <v>0</v>
      </c>
      <c r="N45" s="519">
        <v>0</v>
      </c>
      <c r="O45" s="519">
        <v>0</v>
      </c>
      <c r="P45" s="519">
        <v>0</v>
      </c>
      <c r="Q45" s="519">
        <v>0</v>
      </c>
      <c r="R45" s="519">
        <v>0</v>
      </c>
    </row>
    <row r="46" spans="1:18" x14ac:dyDescent="0.15">
      <c r="B46" s="480" t="s">
        <v>490</v>
      </c>
      <c r="D46" s="528">
        <v>0</v>
      </c>
      <c r="F46" s="519">
        <v>0</v>
      </c>
      <c r="G46" s="519">
        <v>0</v>
      </c>
      <c r="H46" s="519">
        <v>0</v>
      </c>
      <c r="I46" s="519">
        <v>0</v>
      </c>
      <c r="J46" s="519">
        <v>0</v>
      </c>
      <c r="K46" s="519">
        <v>0</v>
      </c>
      <c r="L46" s="519">
        <v>0</v>
      </c>
      <c r="M46" s="519">
        <v>0</v>
      </c>
      <c r="N46" s="519">
        <v>0</v>
      </c>
      <c r="O46" s="519">
        <v>0</v>
      </c>
      <c r="P46" s="519">
        <v>0</v>
      </c>
      <c r="Q46" s="519">
        <v>0</v>
      </c>
      <c r="R46" s="519">
        <v>0</v>
      </c>
    </row>
    <row r="47" spans="1:18" x14ac:dyDescent="0.15">
      <c r="B47" s="480" t="s">
        <v>491</v>
      </c>
      <c r="D47" s="528">
        <v>0</v>
      </c>
      <c r="F47" s="519">
        <v>0</v>
      </c>
      <c r="G47" s="519">
        <v>0</v>
      </c>
      <c r="H47" s="519">
        <v>0</v>
      </c>
      <c r="I47" s="519">
        <v>0</v>
      </c>
      <c r="J47" s="519">
        <v>0</v>
      </c>
      <c r="K47" s="519">
        <v>0</v>
      </c>
      <c r="L47" s="519">
        <v>3</v>
      </c>
      <c r="M47" s="519">
        <v>0</v>
      </c>
      <c r="N47" s="519">
        <v>0</v>
      </c>
      <c r="O47" s="519">
        <v>0</v>
      </c>
      <c r="P47" s="519">
        <v>0</v>
      </c>
      <c r="Q47" s="519">
        <v>0</v>
      </c>
      <c r="R47" s="519">
        <v>0</v>
      </c>
    </row>
    <row r="48" spans="1:18" x14ac:dyDescent="0.15">
      <c r="B48" s="480" t="s">
        <v>492</v>
      </c>
      <c r="D48" s="528">
        <v>0</v>
      </c>
      <c r="F48" s="519">
        <v>0</v>
      </c>
      <c r="G48" s="519">
        <v>0</v>
      </c>
      <c r="H48" s="519">
        <v>0</v>
      </c>
      <c r="I48" s="519">
        <v>0</v>
      </c>
      <c r="J48" s="519">
        <v>0</v>
      </c>
      <c r="K48" s="519">
        <v>0</v>
      </c>
      <c r="L48" s="519">
        <v>0</v>
      </c>
      <c r="M48" s="519">
        <v>0</v>
      </c>
      <c r="N48" s="519">
        <v>0</v>
      </c>
      <c r="O48" s="519">
        <v>0</v>
      </c>
      <c r="P48" s="519">
        <v>0</v>
      </c>
      <c r="Q48" s="519">
        <v>0</v>
      </c>
      <c r="R48" s="519">
        <v>0</v>
      </c>
    </row>
    <row r="49" spans="1:18" x14ac:dyDescent="0.15">
      <c r="B49" s="480" t="s">
        <v>493</v>
      </c>
      <c r="D49" s="528">
        <v>0</v>
      </c>
      <c r="F49" s="519">
        <v>0</v>
      </c>
      <c r="G49" s="519">
        <v>0</v>
      </c>
      <c r="H49" s="519">
        <v>0</v>
      </c>
      <c r="I49" s="519">
        <v>0</v>
      </c>
      <c r="J49" s="519">
        <v>0</v>
      </c>
      <c r="K49" s="519">
        <v>0</v>
      </c>
      <c r="L49" s="519">
        <v>0</v>
      </c>
      <c r="M49" s="519">
        <v>0</v>
      </c>
      <c r="N49" s="519">
        <v>0</v>
      </c>
      <c r="O49" s="519">
        <v>0</v>
      </c>
      <c r="P49" s="519">
        <v>0</v>
      </c>
      <c r="Q49" s="519">
        <v>0</v>
      </c>
      <c r="R49" s="519">
        <v>0</v>
      </c>
    </row>
    <row r="50" spans="1:18" x14ac:dyDescent="0.15">
      <c r="B50" s="480" t="s">
        <v>494</v>
      </c>
      <c r="D50" s="528">
        <v>0</v>
      </c>
      <c r="F50" s="519">
        <v>0</v>
      </c>
      <c r="G50" s="519">
        <v>0</v>
      </c>
      <c r="H50" s="519">
        <v>0</v>
      </c>
      <c r="I50" s="519">
        <v>0</v>
      </c>
      <c r="J50" s="519">
        <v>0</v>
      </c>
      <c r="K50" s="519">
        <v>0</v>
      </c>
      <c r="L50" s="519">
        <v>0</v>
      </c>
      <c r="M50" s="519">
        <v>0</v>
      </c>
      <c r="N50" s="519">
        <v>0</v>
      </c>
      <c r="O50" s="519">
        <v>0</v>
      </c>
      <c r="P50" s="519">
        <v>0</v>
      </c>
      <c r="Q50" s="519">
        <v>0</v>
      </c>
      <c r="R50" s="519">
        <v>0</v>
      </c>
    </row>
    <row r="51" spans="1:18" x14ac:dyDescent="0.15">
      <c r="B51" s="480" t="s">
        <v>495</v>
      </c>
      <c r="D51" s="528">
        <v>0</v>
      </c>
      <c r="F51" s="519">
        <v>0</v>
      </c>
      <c r="G51" s="519">
        <v>0</v>
      </c>
      <c r="H51" s="519">
        <v>0</v>
      </c>
      <c r="I51" s="519">
        <v>0</v>
      </c>
      <c r="J51" s="519">
        <v>0</v>
      </c>
      <c r="K51" s="519">
        <v>0</v>
      </c>
      <c r="L51" s="519">
        <v>0</v>
      </c>
      <c r="M51" s="519">
        <v>0</v>
      </c>
      <c r="N51" s="519">
        <v>0</v>
      </c>
      <c r="O51" s="519">
        <v>0</v>
      </c>
      <c r="P51" s="519">
        <v>0</v>
      </c>
      <c r="Q51" s="519">
        <v>0</v>
      </c>
      <c r="R51" s="519">
        <v>0</v>
      </c>
    </row>
    <row r="52" spans="1:18" x14ac:dyDescent="0.15">
      <c r="B52" s="480" t="s">
        <v>496</v>
      </c>
      <c r="D52" s="528">
        <v>0</v>
      </c>
      <c r="F52" s="519">
        <v>0</v>
      </c>
      <c r="G52" s="519">
        <v>0</v>
      </c>
      <c r="H52" s="519">
        <v>0</v>
      </c>
      <c r="I52" s="519">
        <v>0</v>
      </c>
      <c r="J52" s="519">
        <v>0</v>
      </c>
      <c r="K52" s="519">
        <v>0</v>
      </c>
      <c r="L52" s="519">
        <v>0</v>
      </c>
      <c r="M52" s="519">
        <v>0</v>
      </c>
      <c r="N52" s="519">
        <v>0</v>
      </c>
      <c r="O52" s="519">
        <v>0</v>
      </c>
      <c r="P52" s="519">
        <v>0</v>
      </c>
      <c r="Q52" s="519">
        <v>0</v>
      </c>
      <c r="R52" s="519">
        <v>0</v>
      </c>
    </row>
    <row r="53" spans="1:18" s="511" customFormat="1" x14ac:dyDescent="0.15">
      <c r="A53" s="537"/>
      <c r="B53" s="544" t="s">
        <v>497</v>
      </c>
      <c r="C53" s="544"/>
      <c r="D53" s="545">
        <f>SUM(D41:D52)</f>
        <v>0</v>
      </c>
      <c r="E53" s="544"/>
      <c r="F53" s="545">
        <f>SUM(F41:F52)</f>
        <v>0</v>
      </c>
      <c r="G53" s="545">
        <f t="shared" ref="G53:R53" si="6">SUM(G41:G52)</f>
        <v>0</v>
      </c>
      <c r="H53" s="545">
        <f t="shared" si="6"/>
        <v>2</v>
      </c>
      <c r="I53" s="545">
        <f t="shared" si="6"/>
        <v>2</v>
      </c>
      <c r="J53" s="545">
        <f t="shared" si="6"/>
        <v>0</v>
      </c>
      <c r="K53" s="545">
        <f t="shared" si="6"/>
        <v>1</v>
      </c>
      <c r="L53" s="545">
        <f t="shared" si="6"/>
        <v>3</v>
      </c>
      <c r="M53" s="545">
        <f t="shared" si="6"/>
        <v>0</v>
      </c>
      <c r="N53" s="545">
        <f t="shared" si="6"/>
        <v>0</v>
      </c>
      <c r="O53" s="545">
        <f t="shared" si="6"/>
        <v>0</v>
      </c>
      <c r="P53" s="545">
        <f t="shared" si="6"/>
        <v>0</v>
      </c>
      <c r="Q53" s="545">
        <f t="shared" si="6"/>
        <v>0</v>
      </c>
      <c r="R53" s="545">
        <f t="shared" si="6"/>
        <v>0</v>
      </c>
    </row>
    <row r="54" spans="1:18" x14ac:dyDescent="0.15">
      <c r="F54" s="547"/>
      <c r="G54" s="548"/>
      <c r="H54" s="548"/>
      <c r="I54" s="548"/>
      <c r="J54" s="548"/>
      <c r="K54" s="548"/>
      <c r="L54" s="538"/>
      <c r="M54" s="548"/>
      <c r="N54" s="548"/>
      <c r="O54" s="548"/>
      <c r="P54" s="548"/>
      <c r="Q54" s="548"/>
    </row>
    <row r="55" spans="1:18" x14ac:dyDescent="0.15">
      <c r="F55" s="547"/>
      <c r="G55" s="548"/>
      <c r="H55" s="548"/>
      <c r="I55" s="548"/>
      <c r="J55" s="548"/>
      <c r="K55" s="548"/>
      <c r="L55" s="538"/>
      <c r="M55" s="548"/>
      <c r="N55" s="548"/>
      <c r="O55" s="548"/>
      <c r="P55" s="548"/>
      <c r="Q55" s="548"/>
    </row>
    <row r="56" spans="1:18" x14ac:dyDescent="0.15">
      <c r="B56" s="549"/>
      <c r="F56" s="550"/>
      <c r="G56" s="550"/>
      <c r="H56" s="551"/>
      <c r="P56" s="509"/>
      <c r="Q56" s="553"/>
    </row>
    <row r="76" spans="2:4" ht="10.199999999999999" x14ac:dyDescent="0.2">
      <c r="B76" s="735"/>
      <c r="D76" s="480"/>
    </row>
    <row r="77" spans="2:4" ht="10.199999999999999" x14ac:dyDescent="0.2">
      <c r="B77" s="735"/>
    </row>
  </sheetData>
  <pageMargins left="0.3" right="0.25" top="0.35" bottom="0.4" header="0.4" footer="0.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DE67-0D29-424C-B6B1-9CE8E50E60D7}">
  <sheetPr>
    <tabColor rgb="FF0070C0"/>
  </sheetPr>
  <dimension ref="A1:K77"/>
  <sheetViews>
    <sheetView zoomScale="130" zoomScaleNormal="130" zoomScaleSheetLayoutView="130" workbookViewId="0">
      <selection activeCell="B40" sqref="B40"/>
    </sheetView>
  </sheetViews>
  <sheetFormatPr defaultColWidth="14.140625" defaultRowHeight="7.8" x14ac:dyDescent="0.15"/>
  <cols>
    <col min="1" max="1" width="2.42578125" style="509" customWidth="1"/>
    <col min="2" max="2" width="4.28515625" style="537" customWidth="1"/>
    <col min="3" max="3" width="34.42578125" style="480" customWidth="1"/>
    <col min="4" max="4" width="9.85546875" style="511" customWidth="1"/>
    <col min="5" max="5" width="13" style="480" bestFit="1" customWidth="1"/>
    <col min="6" max="6" width="13" style="568" bestFit="1" customWidth="1"/>
    <col min="7" max="7" width="23" style="480" customWidth="1"/>
    <col min="8" max="8" width="9.28515625" style="509" customWidth="1"/>
    <col min="9" max="16384" width="14.140625" style="480"/>
  </cols>
  <sheetData>
    <row r="1" spans="1:8" s="506" customFormat="1" x14ac:dyDescent="0.15">
      <c r="A1" s="556"/>
      <c r="B1" s="500"/>
      <c r="C1" s="500"/>
      <c r="D1" s="557"/>
      <c r="F1" s="558"/>
      <c r="H1" s="559"/>
    </row>
    <row r="2" spans="1:8" s="562" customFormat="1" ht="12" x14ac:dyDescent="0.25">
      <c r="A2" s="560"/>
      <c r="B2" s="561"/>
      <c r="C2" s="561" t="s">
        <v>498</v>
      </c>
      <c r="F2" s="563"/>
      <c r="H2" s="560"/>
    </row>
    <row r="3" spans="1:8" s="566" customFormat="1" ht="10.199999999999999" x14ac:dyDescent="0.2">
      <c r="A3" s="564"/>
      <c r="B3" s="565"/>
      <c r="C3" s="565">
        <v>45413</v>
      </c>
      <c r="F3" s="567"/>
      <c r="G3" s="564"/>
      <c r="H3" s="564"/>
    </row>
    <row r="6" spans="1:8" x14ac:dyDescent="0.15">
      <c r="B6" s="519"/>
    </row>
    <row r="7" spans="1:8" s="570" customFormat="1" ht="10.199999999999999" x14ac:dyDescent="0.2">
      <c r="A7" s="569"/>
      <c r="B7" s="569"/>
      <c r="C7" s="570" t="s">
        <v>499</v>
      </c>
      <c r="F7" s="571"/>
      <c r="H7" s="569"/>
    </row>
    <row r="8" spans="1:8" s="511" customFormat="1" ht="15.6" x14ac:dyDescent="0.15">
      <c r="A8" s="537"/>
      <c r="B8" s="537"/>
      <c r="D8" s="572" t="s">
        <v>500</v>
      </c>
      <c r="E8" s="573" t="s">
        <v>501</v>
      </c>
      <c r="F8" s="573" t="s">
        <v>502</v>
      </c>
      <c r="G8" s="572" t="s">
        <v>503</v>
      </c>
      <c r="H8" s="574"/>
    </row>
    <row r="12" spans="1:8" s="580" customFormat="1" x14ac:dyDescent="0.15">
      <c r="A12" s="575"/>
      <c r="B12" s="576" t="s">
        <v>504</v>
      </c>
      <c r="C12" s="577" t="s">
        <v>505</v>
      </c>
      <c r="D12" s="576" t="s">
        <v>506</v>
      </c>
      <c r="E12" s="576" t="s">
        <v>507</v>
      </c>
      <c r="F12" s="576" t="s">
        <v>718</v>
      </c>
      <c r="G12" s="578" t="str">
        <f t="shared" ref="G12:G41" si="0">DATEDIF(E12,F12,"y")&amp;" years, "&amp;DATEDIF(E12,F12,"ym")&amp;" months, "&amp;DATEDIF(E12,F12,"md")&amp; " days"</f>
        <v>27 years, 1 months, 22 days</v>
      </c>
      <c r="H12" s="579"/>
    </row>
    <row r="13" spans="1:8" s="580" customFormat="1" x14ac:dyDescent="0.15">
      <c r="A13" s="575"/>
      <c r="B13" s="576" t="s">
        <v>508</v>
      </c>
      <c r="C13" s="577" t="s">
        <v>509</v>
      </c>
      <c r="D13" s="576" t="s">
        <v>510</v>
      </c>
      <c r="E13" s="576" t="s">
        <v>511</v>
      </c>
      <c r="F13" s="576" t="s">
        <v>718</v>
      </c>
      <c r="G13" s="578" t="str">
        <f t="shared" si="0"/>
        <v>27 years, 0 months, 17 days</v>
      </c>
      <c r="H13" s="579"/>
    </row>
    <row r="14" spans="1:8" s="580" customFormat="1" x14ac:dyDescent="0.15">
      <c r="A14" s="575"/>
      <c r="B14" s="576" t="s">
        <v>512</v>
      </c>
      <c r="C14" s="577" t="s">
        <v>513</v>
      </c>
      <c r="D14" s="576" t="s">
        <v>514</v>
      </c>
      <c r="E14" s="576" t="s">
        <v>511</v>
      </c>
      <c r="F14" s="576" t="s">
        <v>718</v>
      </c>
      <c r="G14" s="578" t="str">
        <f t="shared" si="0"/>
        <v>27 years, 0 months, 17 days</v>
      </c>
      <c r="H14" s="579"/>
    </row>
    <row r="15" spans="1:8" s="580" customFormat="1" x14ac:dyDescent="0.15">
      <c r="A15" s="575"/>
      <c r="B15" s="576" t="s">
        <v>515</v>
      </c>
      <c r="C15" s="577" t="s">
        <v>516</v>
      </c>
      <c r="D15" s="576" t="s">
        <v>517</v>
      </c>
      <c r="E15" s="576" t="s">
        <v>518</v>
      </c>
      <c r="F15" s="576" t="s">
        <v>718</v>
      </c>
      <c r="G15" s="578" t="str">
        <f t="shared" si="0"/>
        <v>26 years, 11 months, 20 days</v>
      </c>
      <c r="H15" s="579"/>
    </row>
    <row r="16" spans="1:8" s="580" customFormat="1" x14ac:dyDescent="0.15">
      <c r="A16" s="575"/>
      <c r="B16" s="576" t="s">
        <v>519</v>
      </c>
      <c r="C16" s="577" t="s">
        <v>520</v>
      </c>
      <c r="D16" s="576" t="s">
        <v>521</v>
      </c>
      <c r="E16" s="576" t="s">
        <v>518</v>
      </c>
      <c r="F16" s="576" t="s">
        <v>718</v>
      </c>
      <c r="G16" s="578" t="str">
        <f t="shared" si="0"/>
        <v>26 years, 11 months, 20 days</v>
      </c>
      <c r="H16" s="579"/>
    </row>
    <row r="17" spans="1:8" s="580" customFormat="1" x14ac:dyDescent="0.15">
      <c r="A17" s="575"/>
      <c r="B17" s="576" t="s">
        <v>522</v>
      </c>
      <c r="C17" s="577" t="s">
        <v>523</v>
      </c>
      <c r="D17" s="576" t="s">
        <v>524</v>
      </c>
      <c r="E17" s="576" t="s">
        <v>518</v>
      </c>
      <c r="F17" s="576" t="s">
        <v>718</v>
      </c>
      <c r="G17" s="578" t="str">
        <f t="shared" si="0"/>
        <v>26 years, 11 months, 20 days</v>
      </c>
      <c r="H17" s="579"/>
    </row>
    <row r="18" spans="1:8" s="580" customFormat="1" x14ac:dyDescent="0.15">
      <c r="A18" s="575"/>
      <c r="B18" s="576" t="s">
        <v>525</v>
      </c>
      <c r="C18" s="577" t="s">
        <v>526</v>
      </c>
      <c r="D18" s="576" t="s">
        <v>527</v>
      </c>
      <c r="E18" s="576" t="s">
        <v>528</v>
      </c>
      <c r="F18" s="576" t="s">
        <v>718</v>
      </c>
      <c r="G18" s="578" t="str">
        <f t="shared" si="0"/>
        <v>26 years, 11 months, 6 days</v>
      </c>
      <c r="H18" s="579"/>
    </row>
    <row r="19" spans="1:8" s="580" customFormat="1" x14ac:dyDescent="0.15">
      <c r="A19" s="575"/>
      <c r="B19" s="576" t="s">
        <v>529</v>
      </c>
      <c r="C19" s="577" t="s">
        <v>530</v>
      </c>
      <c r="D19" s="576" t="s">
        <v>531</v>
      </c>
      <c r="E19" s="576" t="s">
        <v>528</v>
      </c>
      <c r="F19" s="576" t="s">
        <v>718</v>
      </c>
      <c r="G19" s="578" t="str">
        <f t="shared" si="0"/>
        <v>26 years, 11 months, 6 days</v>
      </c>
      <c r="H19" s="579"/>
    </row>
    <row r="20" spans="1:8" s="580" customFormat="1" x14ac:dyDescent="0.15">
      <c r="A20" s="575"/>
      <c r="B20" s="576" t="s">
        <v>532</v>
      </c>
      <c r="C20" s="577" t="s">
        <v>533</v>
      </c>
      <c r="D20" s="576" t="s">
        <v>534</v>
      </c>
      <c r="E20" s="576" t="s">
        <v>535</v>
      </c>
      <c r="F20" s="576" t="s">
        <v>718</v>
      </c>
      <c r="G20" s="578" t="str">
        <f t="shared" si="0"/>
        <v>26 years, 7 months, 23 days</v>
      </c>
      <c r="H20" s="579"/>
    </row>
    <row r="21" spans="1:8" s="580" customFormat="1" x14ac:dyDescent="0.15">
      <c r="A21" s="575"/>
      <c r="B21" s="576" t="s">
        <v>536</v>
      </c>
      <c r="C21" s="577" t="s">
        <v>537</v>
      </c>
      <c r="D21" s="576" t="s">
        <v>538</v>
      </c>
      <c r="E21" s="576" t="s">
        <v>539</v>
      </c>
      <c r="F21" s="576" t="s">
        <v>718</v>
      </c>
      <c r="G21" s="578" t="str">
        <f t="shared" si="0"/>
        <v>26 years, 6 months, 19 days</v>
      </c>
      <c r="H21" s="579"/>
    </row>
    <row r="22" spans="1:8" s="580" customFormat="1" x14ac:dyDescent="0.15">
      <c r="A22" s="575"/>
      <c r="B22" s="576" t="s">
        <v>540</v>
      </c>
      <c r="C22" s="577" t="s">
        <v>541</v>
      </c>
      <c r="D22" s="576" t="s">
        <v>542</v>
      </c>
      <c r="E22" s="576" t="s">
        <v>543</v>
      </c>
      <c r="F22" s="576" t="s">
        <v>718</v>
      </c>
      <c r="G22" s="578" t="str">
        <f t="shared" si="0"/>
        <v>26 years, 5 months, 21 days</v>
      </c>
      <c r="H22" s="579"/>
    </row>
    <row r="23" spans="1:8" s="580" customFormat="1" x14ac:dyDescent="0.15">
      <c r="A23" s="575"/>
      <c r="B23" s="576" t="s">
        <v>544</v>
      </c>
      <c r="C23" s="577" t="s">
        <v>545</v>
      </c>
      <c r="D23" s="576" t="s">
        <v>546</v>
      </c>
      <c r="E23" s="576" t="s">
        <v>547</v>
      </c>
      <c r="F23" s="576" t="s">
        <v>718</v>
      </c>
      <c r="G23" s="578" t="str">
        <f t="shared" si="0"/>
        <v>26 years, 4 months, 17 days</v>
      </c>
      <c r="H23" s="579"/>
    </row>
    <row r="24" spans="1:8" s="580" customFormat="1" x14ac:dyDescent="0.15">
      <c r="A24" s="575"/>
      <c r="B24" s="576" t="s">
        <v>548</v>
      </c>
      <c r="C24" s="577" t="s">
        <v>549</v>
      </c>
      <c r="D24" s="576" t="s">
        <v>550</v>
      </c>
      <c r="E24" s="576" t="s">
        <v>551</v>
      </c>
      <c r="F24" s="576" t="s">
        <v>718</v>
      </c>
      <c r="G24" s="578" t="str">
        <f t="shared" si="0"/>
        <v>26 years, 2 months, 20 days</v>
      </c>
      <c r="H24" s="579"/>
    </row>
    <row r="25" spans="1:8" s="580" customFormat="1" x14ac:dyDescent="0.15">
      <c r="A25" s="575"/>
      <c r="B25" s="576" t="s">
        <v>552</v>
      </c>
      <c r="C25" s="577" t="s">
        <v>553</v>
      </c>
      <c r="D25" s="576" t="s">
        <v>554</v>
      </c>
      <c r="E25" s="576" t="s">
        <v>555</v>
      </c>
      <c r="F25" s="576" t="s">
        <v>718</v>
      </c>
      <c r="G25" s="578" t="str">
        <f t="shared" si="0"/>
        <v>26 years, 0 months, 18 days</v>
      </c>
      <c r="H25" s="579"/>
    </row>
    <row r="26" spans="1:8" s="580" customFormat="1" x14ac:dyDescent="0.15">
      <c r="A26" s="575"/>
      <c r="B26" s="576" t="s">
        <v>556</v>
      </c>
      <c r="C26" s="577" t="s">
        <v>557</v>
      </c>
      <c r="D26" s="576" t="s">
        <v>558</v>
      </c>
      <c r="E26" s="576" t="s">
        <v>559</v>
      </c>
      <c r="F26" s="576" t="s">
        <v>718</v>
      </c>
      <c r="G26" s="578" t="str">
        <f t="shared" si="0"/>
        <v>25 years, 11 months, 7 days</v>
      </c>
      <c r="H26" s="579"/>
    </row>
    <row r="27" spans="1:8" s="580" customFormat="1" x14ac:dyDescent="0.15">
      <c r="A27" s="575"/>
      <c r="B27" s="576" t="s">
        <v>560</v>
      </c>
      <c r="C27" s="577" t="s">
        <v>561</v>
      </c>
      <c r="D27" s="576" t="s">
        <v>562</v>
      </c>
      <c r="E27" s="576" t="s">
        <v>563</v>
      </c>
      <c r="F27" s="576" t="s">
        <v>718</v>
      </c>
      <c r="G27" s="578" t="str">
        <f t="shared" si="0"/>
        <v>25 years, 7 months, 17 days</v>
      </c>
      <c r="H27" s="579"/>
    </row>
    <row r="28" spans="1:8" s="580" customFormat="1" x14ac:dyDescent="0.15">
      <c r="A28" s="575"/>
      <c r="B28" s="576" t="s">
        <v>564</v>
      </c>
      <c r="C28" s="577" t="s">
        <v>565</v>
      </c>
      <c r="D28" s="576" t="s">
        <v>566</v>
      </c>
      <c r="E28" s="576" t="s">
        <v>563</v>
      </c>
      <c r="F28" s="576" t="s">
        <v>718</v>
      </c>
      <c r="G28" s="578" t="str">
        <f t="shared" si="0"/>
        <v>25 years, 7 months, 17 days</v>
      </c>
      <c r="H28" s="579"/>
    </row>
    <row r="29" spans="1:8" s="580" customFormat="1" x14ac:dyDescent="0.15">
      <c r="A29" s="575"/>
      <c r="B29" s="576" t="s">
        <v>567</v>
      </c>
      <c r="C29" s="577" t="s">
        <v>568</v>
      </c>
      <c r="D29" s="576" t="s">
        <v>569</v>
      </c>
      <c r="E29" s="576" t="s">
        <v>563</v>
      </c>
      <c r="F29" s="576" t="s">
        <v>718</v>
      </c>
      <c r="G29" s="578" t="str">
        <f t="shared" si="0"/>
        <v>25 years, 7 months, 17 days</v>
      </c>
      <c r="H29" s="579"/>
    </row>
    <row r="30" spans="1:8" s="580" customFormat="1" x14ac:dyDescent="0.15">
      <c r="A30" s="575"/>
      <c r="B30" s="576" t="s">
        <v>570</v>
      </c>
      <c r="C30" s="577" t="s">
        <v>571</v>
      </c>
      <c r="D30" s="576" t="s">
        <v>572</v>
      </c>
      <c r="E30" s="576" t="s">
        <v>563</v>
      </c>
      <c r="F30" s="576" t="s">
        <v>718</v>
      </c>
      <c r="G30" s="578" t="str">
        <f t="shared" si="0"/>
        <v>25 years, 7 months, 17 days</v>
      </c>
      <c r="H30" s="579"/>
    </row>
    <row r="31" spans="1:8" s="580" customFormat="1" x14ac:dyDescent="0.15">
      <c r="A31" s="575"/>
      <c r="B31" s="576" t="s">
        <v>573</v>
      </c>
      <c r="C31" s="577" t="s">
        <v>574</v>
      </c>
      <c r="D31" s="576" t="s">
        <v>575</v>
      </c>
      <c r="E31" s="576" t="s">
        <v>563</v>
      </c>
      <c r="F31" s="576" t="s">
        <v>718</v>
      </c>
      <c r="G31" s="578" t="str">
        <f t="shared" si="0"/>
        <v>25 years, 7 months, 17 days</v>
      </c>
      <c r="H31" s="579"/>
    </row>
    <row r="32" spans="1:8" s="580" customFormat="1" x14ac:dyDescent="0.15">
      <c r="A32" s="575"/>
      <c r="B32" s="576" t="s">
        <v>576</v>
      </c>
      <c r="C32" s="577" t="s">
        <v>577</v>
      </c>
      <c r="D32" s="576" t="s">
        <v>578</v>
      </c>
      <c r="E32" s="576" t="s">
        <v>579</v>
      </c>
      <c r="F32" s="576" t="s">
        <v>718</v>
      </c>
      <c r="G32" s="578" t="str">
        <f t="shared" si="0"/>
        <v>25 years, 6 months, 20 days</v>
      </c>
      <c r="H32" s="579"/>
    </row>
    <row r="33" spans="1:11" s="580" customFormat="1" x14ac:dyDescent="0.15">
      <c r="A33" s="575"/>
      <c r="B33" s="576" t="s">
        <v>580</v>
      </c>
      <c r="C33" s="577" t="s">
        <v>581</v>
      </c>
      <c r="D33" s="576" t="s">
        <v>582</v>
      </c>
      <c r="E33" s="576" t="s">
        <v>579</v>
      </c>
      <c r="F33" s="576" t="s">
        <v>718</v>
      </c>
      <c r="G33" s="578" t="str">
        <f t="shared" si="0"/>
        <v>25 years, 6 months, 20 days</v>
      </c>
      <c r="H33" s="579"/>
    </row>
    <row r="34" spans="1:11" s="580" customFormat="1" x14ac:dyDescent="0.15">
      <c r="A34" s="575"/>
      <c r="B34" s="576" t="s">
        <v>583</v>
      </c>
      <c r="C34" s="577" t="s">
        <v>584</v>
      </c>
      <c r="D34" s="576" t="s">
        <v>585</v>
      </c>
      <c r="E34" s="576" t="s">
        <v>579</v>
      </c>
      <c r="F34" s="576" t="s">
        <v>718</v>
      </c>
      <c r="G34" s="578" t="str">
        <f t="shared" si="0"/>
        <v>25 years, 6 months, 20 days</v>
      </c>
      <c r="H34" s="579"/>
    </row>
    <row r="35" spans="1:11" s="580" customFormat="1" x14ac:dyDescent="0.15">
      <c r="A35" s="575"/>
      <c r="B35" s="576"/>
      <c r="C35" s="577"/>
      <c r="D35" s="576"/>
      <c r="E35" s="576"/>
      <c r="F35" s="576"/>
      <c r="G35" s="578"/>
      <c r="H35" s="579"/>
    </row>
    <row r="36" spans="1:11" s="580" customFormat="1" x14ac:dyDescent="0.15">
      <c r="A36" s="575"/>
      <c r="B36" s="576"/>
      <c r="C36" s="577"/>
      <c r="D36" s="576"/>
      <c r="E36" s="576"/>
      <c r="F36" s="576"/>
      <c r="G36" s="578"/>
      <c r="H36" s="579"/>
    </row>
    <row r="37" spans="1:11" s="580" customFormat="1" x14ac:dyDescent="0.15">
      <c r="A37" s="575"/>
      <c r="B37" s="576" t="s">
        <v>586</v>
      </c>
      <c r="C37" s="577" t="s">
        <v>587</v>
      </c>
      <c r="D37" s="576" t="s">
        <v>588</v>
      </c>
      <c r="E37" s="576" t="s">
        <v>589</v>
      </c>
      <c r="F37" s="576" t="s">
        <v>718</v>
      </c>
      <c r="G37" s="581" t="str">
        <f t="shared" si="0"/>
        <v>24 years, 7 months, 4 days</v>
      </c>
      <c r="H37" s="579"/>
    </row>
    <row r="38" spans="1:11" s="580" customFormat="1" x14ac:dyDescent="0.15">
      <c r="A38" s="575"/>
      <c r="B38" s="576" t="s">
        <v>590</v>
      </c>
      <c r="C38" s="577" t="s">
        <v>591</v>
      </c>
      <c r="D38" s="576" t="s">
        <v>592</v>
      </c>
      <c r="E38" s="576" t="s">
        <v>589</v>
      </c>
      <c r="F38" s="576" t="s">
        <v>718</v>
      </c>
      <c r="G38" s="581" t="str">
        <f t="shared" si="0"/>
        <v>24 years, 7 months, 4 days</v>
      </c>
      <c r="H38" s="582"/>
      <c r="I38" s="582"/>
      <c r="J38" s="583"/>
      <c r="K38" s="101"/>
    </row>
    <row r="39" spans="1:11" s="580" customFormat="1" x14ac:dyDescent="0.15">
      <c r="A39" s="575"/>
      <c r="B39" s="576" t="s">
        <v>593</v>
      </c>
      <c r="C39" s="577" t="s">
        <v>594</v>
      </c>
      <c r="D39" s="576" t="s">
        <v>595</v>
      </c>
      <c r="E39" s="576" t="s">
        <v>596</v>
      </c>
      <c r="F39" s="576" t="s">
        <v>718</v>
      </c>
      <c r="G39" s="581" t="str">
        <f t="shared" si="0"/>
        <v>24 years, 6 months, 21 days</v>
      </c>
      <c r="H39" s="582"/>
      <c r="I39" s="582"/>
      <c r="J39" s="583"/>
      <c r="K39" s="101"/>
    </row>
    <row r="40" spans="1:11" s="580" customFormat="1" x14ac:dyDescent="0.15">
      <c r="A40" s="575"/>
      <c r="B40" s="576" t="s">
        <v>597</v>
      </c>
      <c r="C40" s="577" t="s">
        <v>598</v>
      </c>
      <c r="D40" s="576" t="s">
        <v>599</v>
      </c>
      <c r="E40" s="576" t="s">
        <v>600</v>
      </c>
      <c r="F40" s="576" t="s">
        <v>718</v>
      </c>
      <c r="G40" s="581" t="str">
        <f t="shared" si="0"/>
        <v>24 years, 3 months, 22 days</v>
      </c>
      <c r="H40" s="582"/>
      <c r="I40" s="582"/>
      <c r="J40" s="583"/>
      <c r="K40" s="101"/>
    </row>
    <row r="41" spans="1:11" s="580" customFormat="1" x14ac:dyDescent="0.15">
      <c r="A41" s="575"/>
      <c r="B41" s="576" t="s">
        <v>601</v>
      </c>
      <c r="C41" s="577" t="s">
        <v>602</v>
      </c>
      <c r="D41" s="576" t="s">
        <v>603</v>
      </c>
      <c r="E41" s="576" t="s">
        <v>600</v>
      </c>
      <c r="F41" s="576" t="s">
        <v>718</v>
      </c>
      <c r="G41" s="581" t="str">
        <f t="shared" si="0"/>
        <v>24 years, 3 months, 22 days</v>
      </c>
      <c r="H41" s="582"/>
      <c r="I41" s="582"/>
      <c r="J41" s="583"/>
      <c r="K41" s="101"/>
    </row>
    <row r="42" spans="1:11" s="580" customFormat="1" x14ac:dyDescent="0.15">
      <c r="A42" s="575"/>
      <c r="B42" s="576"/>
      <c r="C42" s="577"/>
      <c r="D42" s="576"/>
      <c r="E42" s="576"/>
      <c r="F42" s="576"/>
      <c r="G42" s="578"/>
      <c r="H42" s="582"/>
      <c r="I42" s="582"/>
      <c r="J42" s="583"/>
      <c r="K42" s="101"/>
    </row>
    <row r="43" spans="1:11" s="580" customFormat="1" x14ac:dyDescent="0.15">
      <c r="A43" s="575"/>
      <c r="B43" s="117"/>
      <c r="C43" s="577"/>
      <c r="D43" s="576"/>
      <c r="E43" s="576"/>
      <c r="F43" s="576"/>
      <c r="G43" s="578"/>
      <c r="H43" s="582"/>
      <c r="I43" s="582"/>
      <c r="J43" s="583"/>
      <c r="K43" s="101"/>
    </row>
    <row r="44" spans="1:11" s="580" customFormat="1" ht="7.2" customHeight="1" x14ac:dyDescent="0.15">
      <c r="A44" s="575"/>
      <c r="B44" s="117"/>
      <c r="C44" s="577"/>
      <c r="D44" s="576"/>
      <c r="E44" s="576"/>
      <c r="F44" s="576"/>
      <c r="G44" s="578"/>
      <c r="H44" s="582"/>
      <c r="I44" s="582"/>
      <c r="J44" s="583"/>
      <c r="K44" s="101"/>
    </row>
    <row r="45" spans="1:11" s="580" customFormat="1" x14ac:dyDescent="0.15">
      <c r="A45" s="575"/>
      <c r="B45" s="117"/>
      <c r="C45" s="584" t="s">
        <v>460</v>
      </c>
      <c r="D45" s="584"/>
      <c r="E45" s="584"/>
      <c r="F45" s="584"/>
      <c r="G45" s="585"/>
      <c r="H45" s="582"/>
      <c r="I45" s="582"/>
      <c r="J45" s="583"/>
      <c r="K45" s="101"/>
    </row>
    <row r="46" spans="1:11" s="580" customFormat="1" x14ac:dyDescent="0.15">
      <c r="A46" s="575"/>
      <c r="B46" s="117"/>
      <c r="C46" s="586" t="s">
        <v>604</v>
      </c>
      <c r="D46" s="584"/>
      <c r="E46" s="584"/>
      <c r="F46" s="584"/>
      <c r="G46" s="585"/>
      <c r="H46" s="582"/>
      <c r="I46" s="582"/>
      <c r="J46" s="583"/>
      <c r="K46" s="101"/>
    </row>
    <row r="47" spans="1:11" s="580" customFormat="1" x14ac:dyDescent="0.15">
      <c r="A47" s="575"/>
      <c r="B47" s="117"/>
      <c r="C47" s="584" t="s">
        <v>605</v>
      </c>
      <c r="D47" s="584"/>
      <c r="E47" s="584"/>
      <c r="F47" s="584"/>
      <c r="G47" s="585"/>
      <c r="H47" s="582"/>
      <c r="I47" s="582"/>
      <c r="J47" s="583"/>
      <c r="K47" s="101"/>
    </row>
    <row r="48" spans="1:11" s="580" customFormat="1" x14ac:dyDescent="0.15">
      <c r="A48" s="575"/>
      <c r="B48" s="117"/>
      <c r="C48" s="584"/>
      <c r="D48" s="584"/>
      <c r="E48" s="584"/>
      <c r="F48" s="584"/>
      <c r="G48" s="585"/>
      <c r="H48" s="582"/>
      <c r="I48" s="582"/>
      <c r="J48" s="583"/>
      <c r="K48" s="101"/>
    </row>
    <row r="49" spans="1:11" s="580" customFormat="1" x14ac:dyDescent="0.15">
      <c r="A49" s="575"/>
      <c r="B49" s="117"/>
      <c r="C49" s="577"/>
      <c r="D49" s="576"/>
      <c r="E49" s="576"/>
      <c r="F49" s="576"/>
      <c r="G49" s="578"/>
      <c r="H49" s="582"/>
      <c r="I49" s="582"/>
      <c r="J49" s="583"/>
      <c r="K49" s="101"/>
    </row>
    <row r="50" spans="1:11" s="580" customFormat="1" x14ac:dyDescent="0.15">
      <c r="A50" s="575"/>
      <c r="B50" s="117"/>
      <c r="C50" s="577"/>
      <c r="D50" s="576"/>
      <c r="E50" s="576"/>
      <c r="F50" s="576"/>
      <c r="G50" s="578"/>
      <c r="H50" s="582"/>
      <c r="I50" s="582"/>
      <c r="J50" s="583"/>
      <c r="K50" s="101"/>
    </row>
    <row r="51" spans="1:11" s="580" customFormat="1" x14ac:dyDescent="0.15">
      <c r="A51" s="575"/>
      <c r="B51" s="117"/>
      <c r="C51" s="577"/>
      <c r="D51" s="576"/>
      <c r="E51" s="576"/>
      <c r="F51" s="576"/>
      <c r="G51" s="578"/>
      <c r="H51" s="582"/>
      <c r="I51" s="582"/>
      <c r="J51" s="583"/>
      <c r="K51" s="101"/>
    </row>
    <row r="52" spans="1:11" s="580" customFormat="1" x14ac:dyDescent="0.15">
      <c r="A52" s="575"/>
      <c r="B52" s="117"/>
      <c r="C52" s="577"/>
      <c r="D52" s="576"/>
      <c r="E52" s="576"/>
      <c r="F52" s="576"/>
      <c r="G52" s="578"/>
      <c r="H52" s="582"/>
      <c r="I52" s="582"/>
      <c r="J52" s="583"/>
      <c r="K52" s="101"/>
    </row>
    <row r="53" spans="1:11" s="580" customFormat="1" x14ac:dyDescent="0.15">
      <c r="A53" s="575"/>
      <c r="B53" s="117"/>
      <c r="C53" s="577"/>
      <c r="D53" s="576"/>
      <c r="E53" s="576"/>
      <c r="F53" s="576"/>
      <c r="G53" s="578"/>
      <c r="H53" s="582"/>
      <c r="I53" s="582"/>
      <c r="J53" s="583"/>
      <c r="K53" s="101"/>
    </row>
    <row r="54" spans="1:11" s="580" customFormat="1" x14ac:dyDescent="0.15">
      <c r="A54" s="575"/>
      <c r="B54" s="117"/>
      <c r="C54" s="577"/>
      <c r="D54" s="576"/>
      <c r="E54" s="576"/>
      <c r="F54" s="576"/>
      <c r="G54" s="578"/>
      <c r="H54" s="582"/>
      <c r="I54" s="582"/>
      <c r="J54" s="583"/>
      <c r="K54" s="101"/>
    </row>
    <row r="55" spans="1:11" s="580" customFormat="1" x14ac:dyDescent="0.15">
      <c r="A55" s="575"/>
      <c r="B55" s="117"/>
      <c r="C55" s="577"/>
      <c r="D55" s="576"/>
      <c r="E55" s="576"/>
      <c r="F55" s="576"/>
      <c r="G55" s="578"/>
      <c r="H55" s="582"/>
      <c r="I55" s="582"/>
      <c r="J55" s="583"/>
      <c r="K55" s="101"/>
    </row>
    <row r="56" spans="1:11" s="580" customFormat="1" x14ac:dyDescent="0.15">
      <c r="A56" s="575"/>
      <c r="B56" s="117"/>
      <c r="C56" s="577"/>
      <c r="D56" s="576"/>
      <c r="E56" s="576"/>
      <c r="F56" s="576"/>
      <c r="G56" s="578"/>
      <c r="H56" s="582"/>
      <c r="I56" s="582"/>
      <c r="J56" s="583"/>
      <c r="K56" s="101"/>
    </row>
    <row r="57" spans="1:11" s="580" customFormat="1" x14ac:dyDescent="0.15">
      <c r="A57" s="575"/>
      <c r="B57" s="117"/>
      <c r="C57" s="577"/>
      <c r="D57" s="576"/>
      <c r="E57" s="576"/>
      <c r="F57" s="576"/>
      <c r="G57" s="578"/>
      <c r="H57" s="582"/>
      <c r="I57" s="582"/>
      <c r="J57" s="583"/>
      <c r="K57" s="101"/>
    </row>
    <row r="58" spans="1:11" s="580" customFormat="1" x14ac:dyDescent="0.15">
      <c r="A58" s="575"/>
      <c r="B58" s="117"/>
      <c r="C58" s="577"/>
      <c r="D58" s="576"/>
      <c r="E58" s="576"/>
      <c r="F58" s="576"/>
      <c r="G58" s="578"/>
      <c r="H58" s="582"/>
      <c r="I58" s="582"/>
      <c r="J58" s="583"/>
      <c r="K58" s="101"/>
    </row>
    <row r="59" spans="1:11" s="580" customFormat="1" x14ac:dyDescent="0.15">
      <c r="A59" s="575"/>
      <c r="B59" s="117"/>
      <c r="C59" s="577"/>
      <c r="D59" s="576"/>
      <c r="E59" s="576"/>
      <c r="F59" s="576"/>
      <c r="G59" s="578"/>
      <c r="H59" s="582"/>
      <c r="I59" s="582"/>
      <c r="J59" s="583"/>
      <c r="K59" s="101"/>
    </row>
    <row r="60" spans="1:11" s="580" customFormat="1" x14ac:dyDescent="0.15">
      <c r="A60" s="575"/>
      <c r="B60" s="117"/>
      <c r="C60" s="577"/>
      <c r="D60" s="576"/>
      <c r="E60" s="576"/>
      <c r="F60" s="576"/>
      <c r="G60" s="578"/>
      <c r="H60" s="582"/>
      <c r="I60" s="582"/>
      <c r="J60" s="583"/>
      <c r="K60" s="101"/>
    </row>
    <row r="61" spans="1:11" x14ac:dyDescent="0.15">
      <c r="C61" s="577"/>
      <c r="D61" s="576"/>
      <c r="E61" s="576"/>
      <c r="F61" s="576"/>
      <c r="G61" s="578"/>
    </row>
    <row r="62" spans="1:11" x14ac:dyDescent="0.15">
      <c r="C62" s="577"/>
      <c r="D62" s="576"/>
      <c r="E62" s="576"/>
      <c r="F62" s="576"/>
      <c r="G62" s="578"/>
    </row>
    <row r="63" spans="1:11" x14ac:dyDescent="0.15">
      <c r="C63" s="577"/>
      <c r="D63" s="576"/>
      <c r="E63" s="576"/>
      <c r="F63" s="576"/>
      <c r="G63" s="578"/>
    </row>
    <row r="64" spans="1:11" x14ac:dyDescent="0.15">
      <c r="C64" s="577"/>
      <c r="D64" s="576"/>
      <c r="E64" s="576"/>
      <c r="F64" s="576"/>
      <c r="G64" s="578"/>
    </row>
    <row r="65" spans="2:11" x14ac:dyDescent="0.15">
      <c r="C65" s="577"/>
      <c r="D65" s="576"/>
      <c r="E65" s="576"/>
      <c r="F65" s="576"/>
      <c r="G65" s="578"/>
    </row>
    <row r="66" spans="2:11" s="509" customFormat="1" x14ac:dyDescent="0.15">
      <c r="B66" s="537"/>
      <c r="C66" s="577"/>
      <c r="D66" s="576"/>
      <c r="E66" s="576"/>
      <c r="F66" s="576"/>
      <c r="G66" s="578"/>
      <c r="I66" s="480"/>
      <c r="J66" s="480"/>
      <c r="K66" s="480"/>
    </row>
    <row r="67" spans="2:11" s="509" customFormat="1" x14ac:dyDescent="0.15">
      <c r="B67" s="537"/>
      <c r="C67" s="577"/>
      <c r="D67" s="576"/>
      <c r="E67" s="576"/>
      <c r="F67" s="576"/>
      <c r="G67" s="578"/>
      <c r="I67" s="480"/>
      <c r="J67" s="480"/>
      <c r="K67" s="480"/>
    </row>
    <row r="68" spans="2:11" s="509" customFormat="1" x14ac:dyDescent="0.15">
      <c r="B68" s="537"/>
      <c r="C68" s="577"/>
      <c r="D68" s="576"/>
      <c r="E68" s="576"/>
      <c r="F68" s="576"/>
      <c r="G68" s="578"/>
      <c r="I68" s="480"/>
      <c r="J68" s="480"/>
      <c r="K68" s="480"/>
    </row>
    <row r="69" spans="2:11" s="509" customFormat="1" x14ac:dyDescent="0.15">
      <c r="B69" s="537"/>
      <c r="C69" s="577"/>
      <c r="D69" s="576"/>
      <c r="E69" s="576"/>
      <c r="F69" s="576"/>
      <c r="G69" s="578"/>
      <c r="I69" s="480"/>
      <c r="J69" s="480"/>
      <c r="K69" s="480"/>
    </row>
    <row r="70" spans="2:11" s="509" customFormat="1" x14ac:dyDescent="0.15">
      <c r="B70" s="537"/>
      <c r="C70" s="577"/>
      <c r="D70" s="576"/>
      <c r="E70" s="576"/>
      <c r="F70" s="576"/>
      <c r="G70" s="578"/>
      <c r="I70" s="480"/>
      <c r="J70" s="480"/>
      <c r="K70" s="480"/>
    </row>
    <row r="76" spans="2:11" ht="10.199999999999999" x14ac:dyDescent="0.2">
      <c r="B76" s="735" t="s">
        <v>688</v>
      </c>
      <c r="D76" s="480"/>
    </row>
    <row r="77" spans="2:11" ht="10.199999999999999" x14ac:dyDescent="0.2">
      <c r="B77" s="735"/>
    </row>
  </sheetData>
  <pageMargins left="0.55000000000000004" right="0.6" top="0.75" bottom="0.4" header="0.4" footer="0.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1E81-B3EC-4AD0-9F55-D02A5B29D726}">
  <sheetPr>
    <tabColor rgb="FF0070C0"/>
  </sheetPr>
  <dimension ref="A1:K77"/>
  <sheetViews>
    <sheetView zoomScale="130" zoomScaleNormal="130" zoomScaleSheetLayoutView="130" workbookViewId="0"/>
  </sheetViews>
  <sheetFormatPr defaultColWidth="14.140625" defaultRowHeight="7.8" x14ac:dyDescent="0.15"/>
  <cols>
    <col min="1" max="3" width="4.5703125" style="509" customWidth="1"/>
    <col min="4" max="4" width="24.140625" style="480" customWidth="1"/>
    <col min="5" max="5" width="2.42578125" style="480" customWidth="1"/>
    <col min="6" max="6" width="8.5703125" style="532" customWidth="1"/>
    <col min="7" max="7" width="10.28515625" style="519" customWidth="1"/>
    <col min="8" max="8" width="10.42578125" style="610" customWidth="1"/>
    <col min="9" max="9" width="10.5703125" style="610" customWidth="1"/>
    <col min="10" max="10" width="31.140625" style="481" customWidth="1"/>
    <col min="11" max="11" width="19.28515625" style="463" customWidth="1"/>
    <col min="12" max="16384" width="14.140625" style="480"/>
  </cols>
  <sheetData>
    <row r="1" spans="1:11" s="7" customFormat="1" x14ac:dyDescent="0.15">
      <c r="A1" s="1"/>
      <c r="B1" s="1"/>
      <c r="C1" s="1"/>
      <c r="D1" s="2" t="s">
        <v>0</v>
      </c>
      <c r="E1" s="2"/>
      <c r="F1" s="3"/>
      <c r="G1" s="6"/>
      <c r="H1" s="587"/>
      <c r="I1" s="588"/>
      <c r="J1" s="589"/>
      <c r="K1" s="589"/>
    </row>
    <row r="2" spans="1:11" s="595" customFormat="1" ht="12" x14ac:dyDescent="0.25">
      <c r="A2" s="590"/>
      <c r="B2" s="590"/>
      <c r="C2" s="590"/>
      <c r="D2" s="591" t="s">
        <v>606</v>
      </c>
      <c r="E2" s="591"/>
      <c r="F2" s="590"/>
      <c r="G2" s="590"/>
      <c r="H2" s="592"/>
      <c r="I2" s="593"/>
      <c r="J2" s="594"/>
      <c r="K2" s="594"/>
    </row>
    <row r="3" spans="1:11" s="600" customFormat="1" ht="10.199999999999999" x14ac:dyDescent="0.2">
      <c r="A3" s="596"/>
      <c r="B3" s="596"/>
      <c r="C3" s="596"/>
      <c r="D3" s="597">
        <v>45413</v>
      </c>
      <c r="E3" s="687"/>
      <c r="F3" s="679" t="s">
        <v>607</v>
      </c>
      <c r="G3" s="680"/>
      <c r="H3" s="681"/>
      <c r="I3" s="598"/>
      <c r="J3" s="599"/>
      <c r="K3" s="599"/>
    </row>
    <row r="4" spans="1:11" s="511" customFormat="1" x14ac:dyDescent="0.15">
      <c r="A4" s="537"/>
      <c r="B4" s="537"/>
      <c r="C4" s="537"/>
      <c r="E4" s="798"/>
      <c r="F4" s="799" t="s">
        <v>703</v>
      </c>
      <c r="G4" s="798"/>
      <c r="H4" s="800"/>
      <c r="I4" s="601"/>
      <c r="J4" s="481"/>
      <c r="K4" s="481"/>
    </row>
    <row r="5" spans="1:11" s="511" customFormat="1" x14ac:dyDescent="0.15">
      <c r="A5" s="537"/>
      <c r="B5" s="537"/>
      <c r="C5" s="537"/>
      <c r="F5" s="537"/>
      <c r="H5" s="512"/>
      <c r="I5" s="601"/>
      <c r="J5" s="481"/>
      <c r="K5" s="481"/>
    </row>
    <row r="6" spans="1:11" s="602" customFormat="1" ht="6.6" x14ac:dyDescent="0.15">
      <c r="G6" s="603"/>
      <c r="H6" s="603"/>
      <c r="I6" s="604"/>
      <c r="J6" s="605"/>
      <c r="K6" s="605"/>
    </row>
    <row r="7" spans="1:11" s="606" customFormat="1" ht="15.6" x14ac:dyDescent="0.15">
      <c r="F7" s="607" t="s">
        <v>608</v>
      </c>
      <c r="G7" s="607" t="s">
        <v>501</v>
      </c>
      <c r="H7" s="608" t="s">
        <v>609</v>
      </c>
      <c r="I7" s="608" t="s">
        <v>610</v>
      </c>
      <c r="J7" s="606" t="s">
        <v>7</v>
      </c>
    </row>
    <row r="8" spans="1:11" s="511" customFormat="1" x14ac:dyDescent="0.15">
      <c r="A8" s="537"/>
      <c r="B8" s="537"/>
      <c r="C8" s="537"/>
      <c r="F8" s="537"/>
      <c r="H8" s="601"/>
      <c r="I8" s="601"/>
      <c r="J8" s="481"/>
      <c r="K8" s="481"/>
    </row>
    <row r="9" spans="1:11" x14ac:dyDescent="0.15">
      <c r="E9" s="609"/>
      <c r="F9" s="537"/>
      <c r="G9" s="480"/>
    </row>
    <row r="10" spans="1:11" x14ac:dyDescent="0.15">
      <c r="F10" s="537"/>
      <c r="G10" s="480"/>
    </row>
    <row r="11" spans="1:11" s="612" customFormat="1" x14ac:dyDescent="0.15">
      <c r="A11" s="611"/>
      <c r="B11" s="611"/>
      <c r="C11" s="611"/>
      <c r="F11" s="613"/>
      <c r="H11" s="614"/>
      <c r="I11" s="614"/>
      <c r="J11" s="469"/>
      <c r="K11" s="615"/>
    </row>
    <row r="12" spans="1:11" s="617" customFormat="1" ht="10.199999999999999" x14ac:dyDescent="0.2">
      <c r="A12" s="616"/>
      <c r="B12" s="616"/>
      <c r="C12" s="616"/>
      <c r="D12" s="617" t="s">
        <v>611</v>
      </c>
      <c r="F12" s="616"/>
      <c r="H12" s="618"/>
      <c r="I12" s="619"/>
      <c r="J12" s="620"/>
      <c r="K12" s="620"/>
    </row>
    <row r="13" spans="1:11" s="612" customFormat="1" x14ac:dyDescent="0.15">
      <c r="A13" s="611"/>
      <c r="B13" s="611"/>
      <c r="C13" s="611"/>
      <c r="F13" s="621"/>
      <c r="H13" s="614"/>
      <c r="I13" s="614"/>
      <c r="J13" s="469"/>
      <c r="K13" s="615"/>
    </row>
    <row r="14" spans="1:11" s="611" customFormat="1" x14ac:dyDescent="0.15">
      <c r="E14" s="622"/>
      <c r="F14" s="623" t="s">
        <v>612</v>
      </c>
      <c r="G14" s="624" t="s">
        <v>613</v>
      </c>
      <c r="H14" s="625"/>
      <c r="I14" s="625"/>
      <c r="J14" s="626"/>
      <c r="K14" s="627"/>
    </row>
    <row r="15" spans="1:11" s="612" customFormat="1" x14ac:dyDescent="0.15">
      <c r="A15" s="611"/>
      <c r="B15" s="611"/>
      <c r="C15" s="611"/>
      <c r="F15" s="621"/>
      <c r="H15" s="614"/>
      <c r="I15" s="614"/>
      <c r="J15" s="469"/>
      <c r="K15" s="615"/>
    </row>
    <row r="16" spans="1:11" s="612" customFormat="1" x14ac:dyDescent="0.15">
      <c r="A16" s="611"/>
      <c r="B16" s="611"/>
      <c r="C16" s="611"/>
      <c r="D16" s="612" t="s">
        <v>614</v>
      </c>
      <c r="F16" s="625">
        <v>250</v>
      </c>
      <c r="G16" s="628">
        <v>150</v>
      </c>
      <c r="H16" s="613"/>
      <c r="I16" s="613" t="s">
        <v>615</v>
      </c>
      <c r="J16" s="469"/>
      <c r="K16" s="615"/>
    </row>
    <row r="17" spans="1:11" s="612" customFormat="1" x14ac:dyDescent="0.15">
      <c r="A17" s="611"/>
      <c r="B17" s="611"/>
      <c r="C17" s="611"/>
      <c r="D17" s="612" t="s">
        <v>616</v>
      </c>
      <c r="F17" s="625">
        <v>500</v>
      </c>
      <c r="G17" s="628">
        <v>300</v>
      </c>
      <c r="H17" s="613"/>
      <c r="I17" s="613" t="s">
        <v>617</v>
      </c>
      <c r="J17" s="469"/>
      <c r="K17" s="615"/>
    </row>
    <row r="18" spans="1:11" s="612" customFormat="1" x14ac:dyDescent="0.15">
      <c r="A18" s="611"/>
      <c r="B18" s="611"/>
      <c r="C18" s="611"/>
      <c r="D18" s="612" t="s">
        <v>618</v>
      </c>
      <c r="F18" s="625">
        <v>1000</v>
      </c>
      <c r="G18" s="628">
        <v>450</v>
      </c>
      <c r="H18" s="613"/>
      <c r="I18" s="613" t="s">
        <v>619</v>
      </c>
      <c r="J18" s="469"/>
      <c r="K18" s="615"/>
    </row>
    <row r="19" spans="1:11" s="612" customFormat="1" x14ac:dyDescent="0.15">
      <c r="A19" s="611"/>
      <c r="B19" s="611"/>
      <c r="C19" s="611"/>
      <c r="D19" s="612" t="s">
        <v>620</v>
      </c>
      <c r="F19" s="625">
        <v>2000</v>
      </c>
      <c r="G19" s="628">
        <v>600</v>
      </c>
      <c r="H19" s="613"/>
      <c r="I19" s="613" t="s">
        <v>621</v>
      </c>
      <c r="J19" s="469"/>
      <c r="K19" s="615"/>
    </row>
    <row r="20" spans="1:11" s="612" customFormat="1" x14ac:dyDescent="0.15">
      <c r="A20" s="611"/>
      <c r="B20" s="611"/>
      <c r="C20" s="611"/>
      <c r="F20" s="613"/>
      <c r="H20" s="614"/>
      <c r="I20" s="614"/>
      <c r="J20" s="469"/>
      <c r="K20" s="615"/>
    </row>
    <row r="21" spans="1:11" x14ac:dyDescent="0.15">
      <c r="F21" s="537"/>
      <c r="G21" s="480"/>
    </row>
    <row r="22" spans="1:11" x14ac:dyDescent="0.15">
      <c r="D22" s="112"/>
      <c r="E22" s="112"/>
      <c r="F22" s="629"/>
      <c r="G22" s="630"/>
      <c r="J22" s="631"/>
      <c r="K22" s="632"/>
    </row>
    <row r="23" spans="1:11" s="493" customFormat="1" ht="10.199999999999999" x14ac:dyDescent="0.2">
      <c r="A23" s="633"/>
      <c r="B23" s="633"/>
      <c r="C23" s="633"/>
      <c r="D23" s="493" t="s">
        <v>622</v>
      </c>
      <c r="F23" s="633"/>
      <c r="G23" s="633"/>
      <c r="H23" s="634"/>
      <c r="I23" s="635"/>
      <c r="J23" s="475"/>
      <c r="K23" s="475"/>
    </row>
    <row r="24" spans="1:11" x14ac:dyDescent="0.15">
      <c r="G24" s="509"/>
    </row>
    <row r="26" spans="1:11" x14ac:dyDescent="0.15">
      <c r="B26" s="509">
        <v>1</v>
      </c>
      <c r="D26" s="112" t="s">
        <v>623</v>
      </c>
      <c r="F26" s="636">
        <v>530</v>
      </c>
      <c r="G26" s="630" t="s">
        <v>624</v>
      </c>
      <c r="H26" s="637" t="s">
        <v>625</v>
      </c>
      <c r="I26" s="610">
        <v>150</v>
      </c>
    </row>
    <row r="27" spans="1:11" x14ac:dyDescent="0.15">
      <c r="B27" s="509">
        <v>2</v>
      </c>
      <c r="D27" s="112" t="s">
        <v>626</v>
      </c>
      <c r="F27" s="636">
        <v>519</v>
      </c>
      <c r="G27" s="630" t="s">
        <v>627</v>
      </c>
      <c r="H27" s="637" t="s">
        <v>625</v>
      </c>
      <c r="I27" s="610">
        <v>150</v>
      </c>
    </row>
    <row r="28" spans="1:11" x14ac:dyDescent="0.15">
      <c r="B28" s="509">
        <v>3</v>
      </c>
      <c r="D28" s="112" t="s">
        <v>628</v>
      </c>
      <c r="F28" s="636">
        <v>487</v>
      </c>
      <c r="G28" s="630" t="s">
        <v>629</v>
      </c>
      <c r="H28" s="637" t="s">
        <v>625</v>
      </c>
      <c r="I28" s="610">
        <v>150</v>
      </c>
    </row>
    <row r="29" spans="1:11" x14ac:dyDescent="0.15">
      <c r="B29" s="509">
        <v>4</v>
      </c>
      <c r="D29" s="112" t="s">
        <v>630</v>
      </c>
      <c r="F29" s="636">
        <v>492</v>
      </c>
      <c r="G29" s="630" t="s">
        <v>629</v>
      </c>
      <c r="H29" s="637" t="s">
        <v>631</v>
      </c>
      <c r="I29" s="610">
        <v>300</v>
      </c>
    </row>
    <row r="30" spans="1:11" x14ac:dyDescent="0.15">
      <c r="B30" s="509">
        <v>5</v>
      </c>
      <c r="D30" s="112" t="s">
        <v>632</v>
      </c>
      <c r="F30" s="636">
        <v>448</v>
      </c>
      <c r="G30" s="630" t="s">
        <v>633</v>
      </c>
      <c r="H30" s="637" t="s">
        <v>631</v>
      </c>
      <c r="I30" s="610">
        <v>300</v>
      </c>
    </row>
    <row r="31" spans="1:11" x14ac:dyDescent="0.15">
      <c r="B31" s="509">
        <v>6</v>
      </c>
      <c r="D31" s="112" t="s">
        <v>634</v>
      </c>
      <c r="F31" s="636">
        <v>445</v>
      </c>
      <c r="G31" s="630" t="s">
        <v>635</v>
      </c>
      <c r="H31" s="637" t="s">
        <v>631</v>
      </c>
      <c r="I31" s="610">
        <v>300</v>
      </c>
    </row>
    <row r="32" spans="1:11" x14ac:dyDescent="0.15">
      <c r="B32" s="509">
        <v>7</v>
      </c>
      <c r="D32" s="112" t="s">
        <v>636</v>
      </c>
      <c r="F32" s="636">
        <v>484</v>
      </c>
      <c r="G32" s="630" t="s">
        <v>637</v>
      </c>
      <c r="H32" s="637" t="s">
        <v>631</v>
      </c>
      <c r="I32" s="610">
        <v>300</v>
      </c>
    </row>
    <row r="33" spans="1:11" s="481" customFormat="1" x14ac:dyDescent="0.15">
      <c r="A33" s="509"/>
      <c r="B33" s="509">
        <v>8</v>
      </c>
      <c r="C33" s="509"/>
      <c r="D33" s="112" t="s">
        <v>638</v>
      </c>
      <c r="E33" s="480"/>
      <c r="F33" s="636">
        <v>441</v>
      </c>
      <c r="G33" s="630" t="s">
        <v>639</v>
      </c>
      <c r="H33" s="637" t="s">
        <v>631</v>
      </c>
      <c r="I33" s="610">
        <v>300</v>
      </c>
      <c r="K33" s="463"/>
    </row>
    <row r="34" spans="1:11" s="481" customFormat="1" x14ac:dyDescent="0.15">
      <c r="A34" s="509"/>
      <c r="B34" s="509">
        <v>9</v>
      </c>
      <c r="C34" s="509"/>
      <c r="D34" s="112" t="s">
        <v>640</v>
      </c>
      <c r="E34" s="480"/>
      <c r="F34" s="636">
        <v>439</v>
      </c>
      <c r="G34" s="630" t="s">
        <v>641</v>
      </c>
      <c r="H34" s="637" t="s">
        <v>631</v>
      </c>
      <c r="I34" s="610">
        <v>300</v>
      </c>
      <c r="K34" s="463"/>
    </row>
    <row r="35" spans="1:11" s="481" customFormat="1" x14ac:dyDescent="0.15">
      <c r="A35" s="509"/>
      <c r="B35" s="509">
        <v>10</v>
      </c>
      <c r="C35" s="509"/>
      <c r="D35" s="112" t="s">
        <v>642</v>
      </c>
      <c r="E35" s="480"/>
      <c r="F35" s="636">
        <v>394</v>
      </c>
      <c r="G35" s="630" t="s">
        <v>643</v>
      </c>
      <c r="H35" s="637" t="s">
        <v>631</v>
      </c>
      <c r="I35" s="610">
        <v>300</v>
      </c>
      <c r="K35" s="463"/>
    </row>
    <row r="36" spans="1:11" s="481" customFormat="1" x14ac:dyDescent="0.15">
      <c r="A36" s="509"/>
      <c r="B36" s="509">
        <v>11</v>
      </c>
      <c r="C36" s="509"/>
      <c r="D36" s="112" t="s">
        <v>644</v>
      </c>
      <c r="E36" s="480"/>
      <c r="F36" s="636">
        <v>443</v>
      </c>
      <c r="G36" s="630" t="s">
        <v>645</v>
      </c>
      <c r="H36" s="637" t="s">
        <v>631</v>
      </c>
      <c r="I36" s="610">
        <v>300</v>
      </c>
      <c r="K36" s="463"/>
    </row>
    <row r="37" spans="1:11" s="481" customFormat="1" x14ac:dyDescent="0.15">
      <c r="A37" s="509"/>
      <c r="B37" s="509">
        <v>12</v>
      </c>
      <c r="C37" s="509"/>
      <c r="D37" s="112" t="s">
        <v>646</v>
      </c>
      <c r="E37" s="480"/>
      <c r="F37" s="636">
        <v>429</v>
      </c>
      <c r="G37" s="630" t="s">
        <v>647</v>
      </c>
      <c r="H37" s="637" t="s">
        <v>631</v>
      </c>
      <c r="I37" s="610">
        <v>300</v>
      </c>
      <c r="K37" s="463"/>
    </row>
    <row r="38" spans="1:11" s="481" customFormat="1" x14ac:dyDescent="0.15">
      <c r="A38" s="509"/>
      <c r="B38" s="509">
        <v>13</v>
      </c>
      <c r="C38" s="509"/>
      <c r="D38" s="112" t="s">
        <v>648</v>
      </c>
      <c r="E38" s="480"/>
      <c r="F38" s="636">
        <v>453</v>
      </c>
      <c r="G38" s="630" t="s">
        <v>649</v>
      </c>
      <c r="H38" s="637" t="s">
        <v>631</v>
      </c>
      <c r="I38" s="610">
        <v>300</v>
      </c>
      <c r="K38" s="463"/>
    </row>
    <row r="39" spans="1:11" s="481" customFormat="1" x14ac:dyDescent="0.15">
      <c r="A39" s="509"/>
      <c r="B39" s="509">
        <v>14</v>
      </c>
      <c r="C39" s="509"/>
      <c r="D39" s="112" t="s">
        <v>650</v>
      </c>
      <c r="E39" s="480"/>
      <c r="F39" s="636">
        <v>326</v>
      </c>
      <c r="G39" s="630" t="s">
        <v>651</v>
      </c>
      <c r="H39" s="637" t="s">
        <v>652</v>
      </c>
      <c r="I39" s="610">
        <v>450</v>
      </c>
      <c r="K39" s="463"/>
    </row>
    <row r="40" spans="1:11" s="481" customFormat="1" x14ac:dyDescent="0.15">
      <c r="A40" s="509"/>
      <c r="B40" s="509">
        <v>15</v>
      </c>
      <c r="C40" s="509"/>
      <c r="D40" s="112" t="s">
        <v>653</v>
      </c>
      <c r="E40" s="480"/>
      <c r="F40" s="636">
        <v>322</v>
      </c>
      <c r="G40" s="630" t="s">
        <v>651</v>
      </c>
      <c r="H40" s="637" t="s">
        <v>652</v>
      </c>
      <c r="I40" s="610">
        <v>450</v>
      </c>
      <c r="K40" s="463"/>
    </row>
    <row r="41" spans="1:11" s="481" customFormat="1" x14ac:dyDescent="0.15">
      <c r="A41" s="509"/>
      <c r="B41" s="509">
        <v>16</v>
      </c>
      <c r="C41" s="509"/>
      <c r="D41" s="112" t="s">
        <v>654</v>
      </c>
      <c r="E41" s="480"/>
      <c r="F41" s="636">
        <v>514</v>
      </c>
      <c r="G41" s="630" t="s">
        <v>655</v>
      </c>
      <c r="H41" s="637" t="s">
        <v>652</v>
      </c>
      <c r="I41" s="610">
        <v>450</v>
      </c>
      <c r="K41" s="463"/>
    </row>
    <row r="42" spans="1:11" s="481" customFormat="1" x14ac:dyDescent="0.15">
      <c r="A42" s="509"/>
      <c r="B42" s="509">
        <v>17</v>
      </c>
      <c r="C42" s="509"/>
      <c r="D42" s="112" t="s">
        <v>656</v>
      </c>
      <c r="E42" s="480"/>
      <c r="F42" s="636">
        <v>386</v>
      </c>
      <c r="G42" s="630" t="s">
        <v>657</v>
      </c>
      <c r="H42" s="637" t="s">
        <v>652</v>
      </c>
      <c r="I42" s="610">
        <v>450</v>
      </c>
      <c r="K42" s="463"/>
    </row>
    <row r="43" spans="1:11" s="481" customFormat="1" x14ac:dyDescent="0.15">
      <c r="A43" s="509"/>
      <c r="B43" s="509">
        <v>18</v>
      </c>
      <c r="C43" s="509"/>
      <c r="D43" s="112" t="s">
        <v>658</v>
      </c>
      <c r="E43" s="480"/>
      <c r="F43" s="636">
        <v>318</v>
      </c>
      <c r="G43" s="630" t="s">
        <v>651</v>
      </c>
      <c r="H43" s="637" t="s">
        <v>652</v>
      </c>
      <c r="I43" s="610">
        <v>450</v>
      </c>
      <c r="K43" s="463"/>
    </row>
    <row r="44" spans="1:11" s="481" customFormat="1" x14ac:dyDescent="0.15">
      <c r="A44" s="509"/>
      <c r="B44" s="509">
        <v>19</v>
      </c>
      <c r="C44" s="509"/>
      <c r="D44" s="112" t="s">
        <v>659</v>
      </c>
      <c r="E44" s="480"/>
      <c r="F44" s="636">
        <v>453</v>
      </c>
      <c r="G44" s="630" t="s">
        <v>660</v>
      </c>
      <c r="H44" s="637" t="s">
        <v>652</v>
      </c>
      <c r="I44" s="610">
        <v>450</v>
      </c>
      <c r="K44" s="463"/>
    </row>
    <row r="45" spans="1:11" s="481" customFormat="1" x14ac:dyDescent="0.15">
      <c r="A45" s="509"/>
      <c r="B45" s="509">
        <v>20</v>
      </c>
      <c r="C45" s="509"/>
      <c r="D45" s="112" t="s">
        <v>661</v>
      </c>
      <c r="E45" s="480"/>
      <c r="F45" s="636">
        <v>357</v>
      </c>
      <c r="G45" s="630" t="s">
        <v>662</v>
      </c>
      <c r="H45" s="637" t="s">
        <v>652</v>
      </c>
      <c r="I45" s="610">
        <v>450</v>
      </c>
      <c r="K45" s="463"/>
    </row>
    <row r="46" spans="1:11" s="481" customFormat="1" x14ac:dyDescent="0.15">
      <c r="A46" s="509"/>
      <c r="B46" s="509">
        <v>21</v>
      </c>
      <c r="C46" s="509"/>
      <c r="D46" s="112" t="s">
        <v>663</v>
      </c>
      <c r="E46" s="480"/>
      <c r="F46" s="636">
        <v>440</v>
      </c>
      <c r="G46" s="630" t="s">
        <v>664</v>
      </c>
      <c r="H46" s="637" t="s">
        <v>652</v>
      </c>
      <c r="I46" s="610">
        <v>450</v>
      </c>
      <c r="K46" s="463"/>
    </row>
    <row r="47" spans="1:11" s="481" customFormat="1" x14ac:dyDescent="0.15">
      <c r="A47" s="509"/>
      <c r="B47" s="509">
        <v>22</v>
      </c>
      <c r="C47" s="509"/>
      <c r="D47" s="112" t="s">
        <v>665</v>
      </c>
      <c r="E47" s="480"/>
      <c r="F47" s="636">
        <v>379</v>
      </c>
      <c r="G47" s="630" t="s">
        <v>666</v>
      </c>
      <c r="H47" s="637" t="s">
        <v>652</v>
      </c>
      <c r="I47" s="610">
        <v>450</v>
      </c>
      <c r="K47" s="463"/>
    </row>
    <row r="48" spans="1:11" s="481" customFormat="1" x14ac:dyDescent="0.15">
      <c r="A48" s="509"/>
      <c r="B48" s="509">
        <v>23</v>
      </c>
      <c r="C48" s="509"/>
      <c r="D48" s="112" t="s">
        <v>667</v>
      </c>
      <c r="E48" s="480"/>
      <c r="F48" s="636">
        <v>504</v>
      </c>
      <c r="G48" s="630" t="s">
        <v>668</v>
      </c>
      <c r="H48" s="637" t="s">
        <v>652</v>
      </c>
      <c r="I48" s="610">
        <v>450</v>
      </c>
      <c r="K48" s="463"/>
    </row>
    <row r="49" spans="1:11" x14ac:dyDescent="0.15">
      <c r="B49" s="509">
        <v>24</v>
      </c>
      <c r="D49" s="112" t="s">
        <v>669</v>
      </c>
      <c r="F49" s="636">
        <v>525</v>
      </c>
      <c r="G49" s="630" t="s">
        <v>670</v>
      </c>
      <c r="H49" s="637" t="s">
        <v>652</v>
      </c>
      <c r="I49" s="610">
        <v>450</v>
      </c>
    </row>
    <row r="50" spans="1:11" x14ac:dyDescent="0.15">
      <c r="B50" s="509">
        <v>25</v>
      </c>
      <c r="D50" s="112" t="s">
        <v>671</v>
      </c>
      <c r="F50" s="636">
        <v>486</v>
      </c>
      <c r="G50" s="630" t="s">
        <v>629</v>
      </c>
      <c r="H50" s="637" t="s">
        <v>672</v>
      </c>
      <c r="I50" s="610">
        <v>600</v>
      </c>
    </row>
    <row r="51" spans="1:11" x14ac:dyDescent="0.15">
      <c r="B51" s="509">
        <v>26</v>
      </c>
      <c r="D51" s="112" t="s">
        <v>673</v>
      </c>
      <c r="F51" s="636">
        <v>319</v>
      </c>
      <c r="G51" s="630" t="s">
        <v>651</v>
      </c>
      <c r="H51" s="637" t="s">
        <v>672</v>
      </c>
      <c r="I51" s="610">
        <v>600</v>
      </c>
    </row>
    <row r="52" spans="1:11" x14ac:dyDescent="0.15">
      <c r="B52" s="509">
        <v>27</v>
      </c>
      <c r="D52" s="112" t="s">
        <v>674</v>
      </c>
      <c r="F52" s="636">
        <v>325</v>
      </c>
      <c r="G52" s="630" t="s">
        <v>651</v>
      </c>
      <c r="H52" s="637" t="s">
        <v>672</v>
      </c>
      <c r="I52" s="610">
        <v>600</v>
      </c>
      <c r="J52" s="638" t="s">
        <v>675</v>
      </c>
    </row>
    <row r="53" spans="1:11" x14ac:dyDescent="0.15">
      <c r="B53" s="509">
        <v>28</v>
      </c>
      <c r="D53" s="112" t="s">
        <v>676</v>
      </c>
      <c r="F53" s="636">
        <v>325</v>
      </c>
      <c r="G53" s="630" t="s">
        <v>651</v>
      </c>
      <c r="H53" s="637" t="s">
        <v>672</v>
      </c>
      <c r="I53" s="610">
        <v>600</v>
      </c>
      <c r="J53" s="639"/>
    </row>
    <row r="54" spans="1:11" x14ac:dyDescent="0.15">
      <c r="B54" s="509">
        <v>29</v>
      </c>
      <c r="D54" s="112" t="s">
        <v>677</v>
      </c>
      <c r="F54" s="636">
        <v>523</v>
      </c>
      <c r="G54" s="630" t="s">
        <v>678</v>
      </c>
      <c r="H54" s="637" t="s">
        <v>672</v>
      </c>
      <c r="I54" s="610">
        <v>600</v>
      </c>
      <c r="J54" s="638" t="s">
        <v>679</v>
      </c>
    </row>
    <row r="55" spans="1:11" x14ac:dyDescent="0.15">
      <c r="B55" s="509">
        <v>30</v>
      </c>
      <c r="D55" s="112" t="s">
        <v>680</v>
      </c>
      <c r="F55" s="636">
        <v>330</v>
      </c>
      <c r="G55" s="630" t="s">
        <v>681</v>
      </c>
      <c r="H55" s="637" t="s">
        <v>672</v>
      </c>
      <c r="I55" s="610">
        <v>600</v>
      </c>
    </row>
    <row r="56" spans="1:11" s="682" customFormat="1" x14ac:dyDescent="0.15">
      <c r="A56" s="622"/>
      <c r="B56" s="622"/>
      <c r="C56" s="622"/>
      <c r="F56" s="683"/>
      <c r="G56" s="545"/>
      <c r="H56" s="684"/>
      <c r="I56" s="685">
        <f>SUM(I26:I55)</f>
        <v>12000</v>
      </c>
      <c r="J56" s="483"/>
      <c r="K56" s="686"/>
    </row>
    <row r="76" spans="2:4" ht="10.199999999999999" x14ac:dyDescent="0.2">
      <c r="B76" s="735" t="s">
        <v>688</v>
      </c>
      <c r="D76" s="509"/>
    </row>
    <row r="77" spans="2:4" ht="10.199999999999999" x14ac:dyDescent="0.2">
      <c r="B77" s="735"/>
    </row>
  </sheetData>
  <pageMargins left="0.5" right="0.25" top="0.4" bottom="0.4" header="0.4" footer="0.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Snapshot 23-24</vt:lpstr>
      <vt:lpstr>Fiscal Highlights 23-24</vt:lpstr>
      <vt:lpstr>Income Statement 23-24</vt:lpstr>
      <vt:lpstr>Balance Sheet 23-24</vt:lpstr>
      <vt:lpstr>Banking &amp; InvestM 23-24</vt:lpstr>
      <vt:lpstr>Capital 23-24</vt:lpstr>
      <vt:lpstr>Members 23-24 Nos</vt:lpstr>
      <vt:lpstr>MemberS 23-24 Lifetime</vt:lpstr>
      <vt:lpstr>MemberS Intermediates 23-24</vt:lpstr>
      <vt:lpstr>'Balance Sheet 23-24'!Print_Area</vt:lpstr>
      <vt:lpstr>'Banking &amp; InvestM 23-24'!Print_Area</vt:lpstr>
      <vt:lpstr>'Capital 23-24'!Print_Area</vt:lpstr>
      <vt:lpstr>'Fiscal Highlights 23-24'!Print_Area</vt:lpstr>
      <vt:lpstr>'Income Statement 23-24'!Print_Area</vt:lpstr>
      <vt:lpstr>'MemberS 23-24 Lifetime'!Print_Area</vt:lpstr>
      <vt:lpstr>'Members 23-24 Nos'!Print_Area</vt:lpstr>
      <vt:lpstr>'MemberS Intermediates 23-24'!Print_Area</vt:lpstr>
      <vt:lpstr>'Snapshot 23-24'!Print_Area</vt:lpstr>
      <vt:lpstr>'Capital 23-24'!Print_Titles</vt:lpstr>
      <vt:lpstr>'Fiscal Highlights 23-24'!Print_Titles</vt:lpstr>
      <vt:lpstr>'Income Statement 23-24'!Print_Titles</vt:lpstr>
      <vt:lpstr>'MemberS 23-24 Lifetime'!Print_Titles</vt:lpstr>
      <vt:lpstr>'Members 23-24 Nos'!Print_Titles</vt:lpstr>
      <vt:lpstr>'MemberS Intermediates 23-24'!Print_Titles</vt:lpstr>
      <vt:lpstr>'Snapshot 23-24'!Print_Titles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Carlson</dc:creator>
  <cp:lastModifiedBy>Joyce Carlson</cp:lastModifiedBy>
  <cp:lastPrinted>2024-05-05T19:25:23Z</cp:lastPrinted>
  <dcterms:created xsi:type="dcterms:W3CDTF">2024-04-06T17:04:32Z</dcterms:created>
  <dcterms:modified xsi:type="dcterms:W3CDTF">2024-06-12T03:35:24Z</dcterms:modified>
</cp:coreProperties>
</file>