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ae19bb150c8d329/Documents/2 - QUEEN CITY/4 - Financials FY2023-2024/1 - FY23-24 Reporting/2024.02 Reporting/"/>
    </mc:Choice>
  </mc:AlternateContent>
  <xr:revisionPtr revIDLastSave="0" documentId="8_{B4335849-76F7-41CA-A9BA-2833F7A45FB2}" xr6:coauthVersionLast="47" xr6:coauthVersionMax="47" xr10:uidLastSave="{00000000-0000-0000-0000-000000000000}"/>
  <bookViews>
    <workbookView xWindow="-108" yWindow="-108" windowWidth="23256" windowHeight="12456" xr2:uid="{BC311911-06FE-4AA9-947C-96BBA39F45E2}"/>
  </bookViews>
  <sheets>
    <sheet name="Financials Snapshot 23-24" sheetId="1" r:id="rId1"/>
    <sheet name="Fiscal Highlights 23-24" sheetId="2" r:id="rId2"/>
    <sheet name="Income Statement 23-24" sheetId="10" r:id="rId3"/>
    <sheet name="Balance Sheet 23-24" sheetId="4" r:id="rId4"/>
    <sheet name="Banking &amp; InvestM 23-24" sheetId="15" r:id="rId5"/>
    <sheet name="Capital 23-24" sheetId="6" r:id="rId6"/>
    <sheet name="Members 23-24 Nos" sheetId="7" r:id="rId7"/>
    <sheet name="MemberS 23-24 Lifetime" sheetId="11" r:id="rId8"/>
    <sheet name="MemberS Intermediates 23-24" sheetId="12" r:id="rId9"/>
  </sheets>
  <definedNames>
    <definedName name="ACTIVE" localSheetId="3">#REF!</definedName>
    <definedName name="ACTIVE" localSheetId="4">#REF!</definedName>
    <definedName name="ACTIVE" localSheetId="5">#REF!</definedName>
    <definedName name="ACTIVE" localSheetId="0">#REF!</definedName>
    <definedName name="ACTIVE" localSheetId="1">#REF!</definedName>
    <definedName name="ACTIVE" localSheetId="2">#REF!</definedName>
    <definedName name="ACTIVE" localSheetId="7">#REF!</definedName>
    <definedName name="ACTIVE" localSheetId="6">#REF!</definedName>
    <definedName name="ACTIVE" localSheetId="8">#REF!</definedName>
    <definedName name="ACTIVE">#REF!</definedName>
    <definedName name="AprSun1" localSheetId="3">DATEVALUE("4/1/"&amp;#REF!)-WEEKDAY(DATEVALUE("4/1/"&amp;#REF!))+1</definedName>
    <definedName name="AprSun1" localSheetId="4">DATEVALUE("4/1/"&amp;#REF!)-WEEKDAY(DATEVALUE("4/1/"&amp;#REF!))+1</definedName>
    <definedName name="AprSun1" localSheetId="5">DATEVALUE("4/1/"&amp;#REF!)-WEEKDAY(DATEVALUE("4/1/"&amp;#REF!))+1</definedName>
    <definedName name="AprSun1" localSheetId="0">DATEVALUE("4/1/"&amp;#REF!)-WEEKDAY(DATEVALUE("4/1/"&amp;#REF!))+1</definedName>
    <definedName name="AprSun1" localSheetId="1">DATEVALUE("4/1/"&amp;#REF!)-WEEKDAY(DATEVALUE("4/1/"&amp;#REF!))+1</definedName>
    <definedName name="AprSun1" localSheetId="2">DATEVALUE("4/1/"&amp;#REF!)-WEEKDAY(DATEVALUE("4/1/"&amp;#REF!))+1</definedName>
    <definedName name="AprSun1" localSheetId="7">DATEVALUE("4/1/"&amp;#REF!)-WEEKDAY(DATEVALUE("4/1/"&amp;#REF!))+1</definedName>
    <definedName name="AprSun1" localSheetId="6">DATEVALUE("4/1/"&amp;#REF!)-WEEKDAY(DATEVALUE("4/1/"&amp;#REF!))+1</definedName>
    <definedName name="AprSun1" localSheetId="8">DATEVALUE("4/1/"&amp;#REF!)-WEEKDAY(DATEVALUE("4/1/"&amp;#REF!))+1</definedName>
    <definedName name="AprSun1">DATEVALUE("4/1/"&amp;#REF!)-WEEKDAY(DATEVALUE("4/1/"&amp;#REF!))+1</definedName>
    <definedName name="AugSun1" localSheetId="3">DATEVALUE("8/1/"&amp;#REF!)-WEEKDAY(DATEVALUE("8/1/"&amp;#REF!))+1</definedName>
    <definedName name="AugSun1" localSheetId="4">DATEVALUE("8/1/"&amp;#REF!)-WEEKDAY(DATEVALUE("8/1/"&amp;#REF!))+1</definedName>
    <definedName name="AugSun1" localSheetId="5">DATEVALUE("8/1/"&amp;#REF!)-WEEKDAY(DATEVALUE("8/1/"&amp;#REF!))+1</definedName>
    <definedName name="AugSun1" localSheetId="0">DATEVALUE("8/1/"&amp;#REF!)-WEEKDAY(DATEVALUE("8/1/"&amp;#REF!))+1</definedName>
    <definedName name="AugSun1" localSheetId="1">DATEVALUE("8/1/"&amp;#REF!)-WEEKDAY(DATEVALUE("8/1/"&amp;#REF!))+1</definedName>
    <definedName name="AugSun1" localSheetId="2">DATEVALUE("8/1/"&amp;#REF!)-WEEKDAY(DATEVALUE("8/1/"&amp;#REF!))+1</definedName>
    <definedName name="AugSun1" localSheetId="7">DATEVALUE("8/1/"&amp;#REF!)-WEEKDAY(DATEVALUE("8/1/"&amp;#REF!))+1</definedName>
    <definedName name="AugSun1" localSheetId="6">DATEVALUE("8/1/"&amp;#REF!)-WEEKDAY(DATEVALUE("8/1/"&amp;#REF!))+1</definedName>
    <definedName name="AugSun1" localSheetId="8">DATEVALUE("8/1/"&amp;#REF!)-WEEKDAY(DATEVALUE("8/1/"&amp;#REF!))+1</definedName>
    <definedName name="AugSun1">DATEVALUE("8/1/"&amp;#REF!)-WEEKDAY(DATEVALUE("8/1/"&amp;#REF!))+1</definedName>
    <definedName name="Calendar" localSheetId="3">'Balance Sheet 23-24'!DaysAndWeeks + DateOfFirst - WEEKDAY(DateOfFirst,2)</definedName>
    <definedName name="Calendar" localSheetId="4">'Banking &amp; InvestM 23-24'!DaysAndWeeks + DateOfFirst - WEEKDAY(DateOfFirst,2)</definedName>
    <definedName name="Calendar" localSheetId="5">'Capital 23-24'!DaysAndWeeks + DateOfFirst - WEEKDAY(DateOfFirst,2)</definedName>
    <definedName name="Calendar" localSheetId="0">#REF! + DateOfFirst - WEEKDAY(DateOfFirst,2)</definedName>
    <definedName name="Calendar" localSheetId="1">#REF! + DateOfFirst - WEEKDAY(DateOfFirst,2)</definedName>
    <definedName name="Calendar" localSheetId="2">'Income Statement 23-24'!DaysAndWeeks + DateOfFirst - WEEKDAY(DateOfFirst,2)</definedName>
    <definedName name="Calendar" localSheetId="7">'MemberS 23-24 Lifetime'!DaysAndWeeks + DateOfFirst - WEEKDAY(DateOfFirst,2)</definedName>
    <definedName name="Calendar" localSheetId="6">'Members 23-24 Nos'!DaysAndWeeks + DateOfFirst - WEEKDAY(DateOfFirst,2)</definedName>
    <definedName name="Calendar" localSheetId="8">'MemberS Intermediates 23-24'!DaysAndWeeks + DateOfFirst - WEEKDAY(DateOfFirst,2)</definedName>
    <definedName name="Calendar">DaysAndWeeks + DateOfFirst - WEEKDAY(DateOfFirst,2)</definedName>
    <definedName name="CalendarYear" localSheetId="3">#REF!</definedName>
    <definedName name="CalendarYear" localSheetId="4">#REF!</definedName>
    <definedName name="CalendarYear" localSheetId="5">#REF!</definedName>
    <definedName name="CalendarYear" localSheetId="0">#REF!</definedName>
    <definedName name="CalendarYear" localSheetId="1">#REF!</definedName>
    <definedName name="CalendarYear" localSheetId="2">#REF!</definedName>
    <definedName name="CalendarYear" localSheetId="7">#REF!</definedName>
    <definedName name="CalendarYear" localSheetId="6">#REF!</definedName>
    <definedName name="CalendarYear" localSheetId="8">#REF!</definedName>
    <definedName name="CalendarYear">#REF!</definedName>
    <definedName name="CalYear" localSheetId="3">#REF!</definedName>
    <definedName name="CalYear" localSheetId="4">#REF!</definedName>
    <definedName name="CalYear" localSheetId="5">#REF!</definedName>
    <definedName name="CalYear" localSheetId="0">#REF!</definedName>
    <definedName name="CalYear" localSheetId="1">#REF!</definedName>
    <definedName name="CalYear" localSheetId="2">#REF!</definedName>
    <definedName name="CalYear" localSheetId="7">#REF!</definedName>
    <definedName name="CalYear" localSheetId="6">#REF!</definedName>
    <definedName name="CalYear" localSheetId="8">#REF!</definedName>
    <definedName name="CalYear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7">#REF!</definedName>
    <definedName name="_xlnm.Database" localSheetId="6">#REF!</definedName>
    <definedName name="_xlnm.Database" localSheetId="8">#REF!</definedName>
    <definedName name="_xlnm.Database">#REF!</definedName>
    <definedName name="Days" localSheetId="3">{0,1,2,3,4,5,6} + {0;1;2;3;4;5}*7</definedName>
    <definedName name="Days" localSheetId="4">{0,1,2,3,4,5,6} + {0;1;2;3;4;5}*7</definedName>
    <definedName name="Days" localSheetId="5">{0,1,2,3,4,5,6} + {0;1;2;3;4;5}*7</definedName>
    <definedName name="Days" localSheetId="0">{0,1,2,3,4,5,6} + {0;1;2;3;4;5}*7</definedName>
    <definedName name="Days" localSheetId="1">{0,1,2,3,4,5,6} + {0;1;2;3;4;5}*7</definedName>
    <definedName name="Days" localSheetId="2">{0,1,2,3,4,5,6} + {0;1;2;3;4;5}*7</definedName>
    <definedName name="Days" localSheetId="7">{0,1,2,3,4,5,6} + {0;1;2;3;4;5}*7</definedName>
    <definedName name="Days" localSheetId="6">{0,1,2,3,4,5,6} + {0;1;2;3;4;5}*7</definedName>
    <definedName name="Days" localSheetId="8">{0,1,2,3,4,5,6} + {0;1;2;3;4;5}*7</definedName>
    <definedName name="Days">{0,1,2,3,4,5,6} + {0;1;2;3;4;5}*7</definedName>
    <definedName name="DaysAndWeeks" localSheetId="3">{0,1,2,3,4,5,6} + {0;1;2;3;4;5}*7</definedName>
    <definedName name="DaysAndWeeks" localSheetId="4">{0,1,2,3,4,5,6} + {0;1;2;3;4;5}*7</definedName>
    <definedName name="DaysAndWeeks" localSheetId="5">{0,1,2,3,4,5,6} + {0;1;2;3;4;5}*7</definedName>
    <definedName name="DaysAndWeeks" localSheetId="0">{0,1,2,3,4,5,6} + {0;1;2;3;4;5}*7</definedName>
    <definedName name="DaysAndWeeks" localSheetId="1">{0,1,2,3,4,5,6} + {0;1;2;3;4;5}*7</definedName>
    <definedName name="DaysAndWeeks" localSheetId="2">{0,1,2,3,4,5,6} + {0;1;2;3;4;5}*7</definedName>
    <definedName name="DaysAndWeeks" localSheetId="7">{0,1,2,3,4,5,6} + {0;1;2;3;4;5}*7</definedName>
    <definedName name="DaysAndWeeks" localSheetId="6">{0,1,2,3,4,5,6} + {0;1;2;3;4;5}*7</definedName>
    <definedName name="DaysAndWeeks" localSheetId="8">{0,1,2,3,4,5,6} + {0;1;2;3;4;5}*7</definedName>
    <definedName name="DaysAndWeeks">{0,1,2,3,4,5,6} + {0;1;2;3;4;5}*7</definedName>
    <definedName name="DecSun1" localSheetId="3">DATEVALUE("12/1/"&amp;#REF!)-WEEKDAY(DATEVALUE("12/1/"&amp;#REF!))+1</definedName>
    <definedName name="DecSun1" localSheetId="4">DATEVALUE("12/1/"&amp;#REF!)-WEEKDAY(DATEVALUE("12/1/"&amp;#REF!))+1</definedName>
    <definedName name="DecSun1" localSheetId="5">DATEVALUE("12/1/"&amp;#REF!)-WEEKDAY(DATEVALUE("12/1/"&amp;#REF!))+1</definedName>
    <definedName name="DecSun1" localSheetId="0">DATEVALUE("12/1/"&amp;#REF!)-WEEKDAY(DATEVALUE("12/1/"&amp;#REF!))+1</definedName>
    <definedName name="DecSun1" localSheetId="1">DATEVALUE("12/1/"&amp;#REF!)-WEEKDAY(DATEVALUE("12/1/"&amp;#REF!))+1</definedName>
    <definedName name="DecSun1" localSheetId="2">DATEVALUE("12/1/"&amp;#REF!)-WEEKDAY(DATEVALUE("12/1/"&amp;#REF!))+1</definedName>
    <definedName name="DecSun1" localSheetId="7">DATEVALUE("12/1/"&amp;#REF!)-WEEKDAY(DATEVALUE("12/1/"&amp;#REF!))+1</definedName>
    <definedName name="DecSun1" localSheetId="6">DATEVALUE("12/1/"&amp;#REF!)-WEEKDAY(DATEVALUE("12/1/"&amp;#REF!))+1</definedName>
    <definedName name="DecSun1" localSheetId="8">DATEVALUE("12/1/"&amp;#REF!)-WEEKDAY(DATEVALUE("12/1/"&amp;#REF!))+1</definedName>
    <definedName name="DecSun1">DATEVALUE("12/1/"&amp;#REF!)-WEEKDAY(DATEVALUE("12/1/"&amp;#REF!))+1</definedName>
    <definedName name="ER">"#REF!"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 localSheetId="7">#REF!</definedName>
    <definedName name="_xlnm.Extract" localSheetId="6">#REF!</definedName>
    <definedName name="_xlnm.Extract" localSheetId="8">#REF!</definedName>
    <definedName name="_xlnm.Extract">#REF!</definedName>
    <definedName name="FebSun1" localSheetId="3">DATEVALUE("2/1/"&amp;#REF!)-WEEKDAY(DATEVALUE("2/1/"&amp;#REF!))+1</definedName>
    <definedName name="FebSun1" localSheetId="4">DATEVALUE("2/1/"&amp;#REF!)-WEEKDAY(DATEVALUE("2/1/"&amp;#REF!))+1</definedName>
    <definedName name="FebSun1" localSheetId="5">DATEVALUE("2/1/"&amp;#REF!)-WEEKDAY(DATEVALUE("2/1/"&amp;#REF!))+1</definedName>
    <definedName name="FebSun1" localSheetId="0">DATEVALUE("2/1/"&amp;#REF!)-WEEKDAY(DATEVALUE("2/1/"&amp;#REF!))+1</definedName>
    <definedName name="FebSun1" localSheetId="1">DATEVALUE("2/1/"&amp;#REF!)-WEEKDAY(DATEVALUE("2/1/"&amp;#REF!))+1</definedName>
    <definedName name="FebSun1" localSheetId="2">DATEVALUE("2/1/"&amp;#REF!)-WEEKDAY(DATEVALUE("2/1/"&amp;#REF!))+1</definedName>
    <definedName name="FebSun1" localSheetId="7">DATEVALUE("2/1/"&amp;#REF!)-WEEKDAY(DATEVALUE("2/1/"&amp;#REF!))+1</definedName>
    <definedName name="FebSun1" localSheetId="6">DATEVALUE("2/1/"&amp;#REF!)-WEEKDAY(DATEVALUE("2/1/"&amp;#REF!))+1</definedName>
    <definedName name="FebSun1" localSheetId="8">DATEVALUE("2/1/"&amp;#REF!)-WEEKDAY(DATEVALUE("2/1/"&amp;#REF!))+1</definedName>
    <definedName name="FebSun1">DATEVALUE("2/1/"&amp;#REF!)-WEEKDAY(DATEVALUE("2/1/"&amp;#REF!))+1</definedName>
    <definedName name="JanSun1" localSheetId="3">DATEVALUE("1/1/"&amp;#REF!)-WEEKDAY(DATEVALUE("1/1/"&amp;#REF!))+1</definedName>
    <definedName name="JanSun1" localSheetId="4">DATEVALUE("1/1/"&amp;#REF!)-WEEKDAY(DATEVALUE("1/1/"&amp;#REF!))+1</definedName>
    <definedName name="JanSun1" localSheetId="5">DATEVALUE("1/1/"&amp;#REF!)-WEEKDAY(DATEVALUE("1/1/"&amp;#REF!))+1</definedName>
    <definedName name="JanSun1" localSheetId="0">DATEVALUE("1/1/"&amp;#REF!)-WEEKDAY(DATEVALUE("1/1/"&amp;#REF!))+1</definedName>
    <definedName name="JanSun1" localSheetId="1">DATEVALUE("1/1/"&amp;#REF!)-WEEKDAY(DATEVALUE("1/1/"&amp;#REF!))+1</definedName>
    <definedName name="JanSun1" localSheetId="2">DATEVALUE("1/1/"&amp;#REF!)-WEEKDAY(DATEVALUE("1/1/"&amp;#REF!))+1</definedName>
    <definedName name="JanSun1" localSheetId="7">DATEVALUE("1/1/"&amp;#REF!)-WEEKDAY(DATEVALUE("1/1/"&amp;#REF!))+1</definedName>
    <definedName name="JanSun1" localSheetId="6">DATEVALUE("1/1/"&amp;#REF!)-WEEKDAY(DATEVALUE("1/1/"&amp;#REF!))+1</definedName>
    <definedName name="JanSun1" localSheetId="8">DATEVALUE("1/1/"&amp;#REF!)-WEEKDAY(DATEVALUE("1/1/"&amp;#REF!))+1</definedName>
    <definedName name="JanSun1">DATEVALUE("1/1/"&amp;#REF!)-WEEKDAY(DATEVALUE("1/1/"&amp;#REF!))+1</definedName>
    <definedName name="JulSun1" localSheetId="3">DATEVALUE("7/1/"&amp;#REF!)-WEEKDAY(DATEVALUE("7/1/"&amp;#REF!))+1</definedName>
    <definedName name="JulSun1" localSheetId="4">DATEVALUE("7/1/"&amp;#REF!)-WEEKDAY(DATEVALUE("7/1/"&amp;#REF!))+1</definedName>
    <definedName name="JulSun1" localSheetId="5">DATEVALUE("7/1/"&amp;#REF!)-WEEKDAY(DATEVALUE("7/1/"&amp;#REF!))+1</definedName>
    <definedName name="JulSun1" localSheetId="0">DATEVALUE("7/1/"&amp;#REF!)-WEEKDAY(DATEVALUE("7/1/"&amp;#REF!))+1</definedName>
    <definedName name="JulSun1" localSheetId="1">DATEVALUE("7/1/"&amp;#REF!)-WEEKDAY(DATEVALUE("7/1/"&amp;#REF!))+1</definedName>
    <definedName name="JulSun1" localSheetId="2">DATEVALUE("7/1/"&amp;#REF!)-WEEKDAY(DATEVALUE("7/1/"&amp;#REF!))+1</definedName>
    <definedName name="JulSun1" localSheetId="7">DATEVALUE("7/1/"&amp;#REF!)-WEEKDAY(DATEVALUE("7/1/"&amp;#REF!))+1</definedName>
    <definedName name="JulSun1" localSheetId="6">DATEVALUE("7/1/"&amp;#REF!)-WEEKDAY(DATEVALUE("7/1/"&amp;#REF!))+1</definedName>
    <definedName name="JulSun1" localSheetId="8">DATEVALUE("7/1/"&amp;#REF!)-WEEKDAY(DATEVALUE("7/1/"&amp;#REF!))+1</definedName>
    <definedName name="JulSun1">DATEVALUE("7/1/"&amp;#REF!)-WEEKDAY(DATEVALUE("7/1/"&amp;#REF!))+1</definedName>
    <definedName name="JunSun1" localSheetId="3">DATEVALUE("6/1/"&amp;#REF!)-WEEKDAY(DATEVALUE("6/1/"&amp;#REF!))+1</definedName>
    <definedName name="JunSun1" localSheetId="4">DATEVALUE("6/1/"&amp;#REF!)-WEEKDAY(DATEVALUE("6/1/"&amp;#REF!))+1</definedName>
    <definedName name="JunSun1" localSheetId="5">DATEVALUE("6/1/"&amp;#REF!)-WEEKDAY(DATEVALUE("6/1/"&amp;#REF!))+1</definedName>
    <definedName name="JunSun1" localSheetId="0">DATEVALUE("6/1/"&amp;#REF!)-WEEKDAY(DATEVALUE("6/1/"&amp;#REF!))+1</definedName>
    <definedName name="JunSun1" localSheetId="1">DATEVALUE("6/1/"&amp;#REF!)-WEEKDAY(DATEVALUE("6/1/"&amp;#REF!))+1</definedName>
    <definedName name="JunSun1" localSheetId="2">DATEVALUE("6/1/"&amp;#REF!)-WEEKDAY(DATEVALUE("6/1/"&amp;#REF!))+1</definedName>
    <definedName name="JunSun1" localSheetId="7">DATEVALUE("6/1/"&amp;#REF!)-WEEKDAY(DATEVALUE("6/1/"&amp;#REF!))+1</definedName>
    <definedName name="JunSun1" localSheetId="6">DATEVALUE("6/1/"&amp;#REF!)-WEEKDAY(DATEVALUE("6/1/"&amp;#REF!))+1</definedName>
    <definedName name="JunSun1" localSheetId="8">DATEVALUE("6/1/"&amp;#REF!)-WEEKDAY(DATEVALUE("6/1/"&amp;#REF!))+1</definedName>
    <definedName name="JunSun1">DATEVALUE("6/1/"&amp;#REF!)-WEEKDAY(DATEVALUE("6/1/"&amp;#REF!))+1</definedName>
    <definedName name="LIFE" localSheetId="3">#REF!</definedName>
    <definedName name="LIFE" localSheetId="4">#REF!</definedName>
    <definedName name="LIFE" localSheetId="5">#REF!</definedName>
    <definedName name="LIFE" localSheetId="0">#REF!</definedName>
    <definedName name="LIFE" localSheetId="1">#REF!</definedName>
    <definedName name="LIFE" localSheetId="2">#REF!</definedName>
    <definedName name="LIFE" localSheetId="7">#REF!</definedName>
    <definedName name="LIFE" localSheetId="6">#REF!</definedName>
    <definedName name="LIFE" localSheetId="8">#REF!</definedName>
    <definedName name="LIFE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rSun1" localSheetId="3">DATEVALUE("3/1/"&amp;#REF!)-WEEKDAY(DATEVALUE("3/1/"&amp;#REF!))+1</definedName>
    <definedName name="MarSun1" localSheetId="4">DATEVALUE("3/1/"&amp;#REF!)-WEEKDAY(DATEVALUE("3/1/"&amp;#REF!))+1</definedName>
    <definedName name="MarSun1" localSheetId="5">DATEVALUE("3/1/"&amp;#REF!)-WEEKDAY(DATEVALUE("3/1/"&amp;#REF!))+1</definedName>
    <definedName name="MarSun1" localSheetId="0">DATEVALUE("3/1/"&amp;#REF!)-WEEKDAY(DATEVALUE("3/1/"&amp;#REF!))+1</definedName>
    <definedName name="MarSun1" localSheetId="1">DATEVALUE("3/1/"&amp;#REF!)-WEEKDAY(DATEVALUE("3/1/"&amp;#REF!))+1</definedName>
    <definedName name="MarSun1" localSheetId="2">DATEVALUE("3/1/"&amp;#REF!)-WEEKDAY(DATEVALUE("3/1/"&amp;#REF!))+1</definedName>
    <definedName name="MarSun1" localSheetId="7">DATEVALUE("3/1/"&amp;#REF!)-WEEKDAY(DATEVALUE("3/1/"&amp;#REF!))+1</definedName>
    <definedName name="MarSun1" localSheetId="6">DATEVALUE("3/1/"&amp;#REF!)-WEEKDAY(DATEVALUE("3/1/"&amp;#REF!))+1</definedName>
    <definedName name="MarSun1" localSheetId="8">DATEVALUE("3/1/"&amp;#REF!)-WEEKDAY(DATEVALUE("3/1/"&amp;#REF!))+1</definedName>
    <definedName name="MarSun1">DATEVALUE("3/1/"&amp;#REF!)-WEEKDAY(DATEVALUE("3/1/"&amp;#REF!))+1</definedName>
    <definedName name="MayMondays" localSheetId="3">SUM((WEEKDAY(DATE(#REF!,5,(ROW(INDIRECT("1:"&amp;DAY(DATE(#REF!,5+1,0)))))))=2)*1)</definedName>
    <definedName name="MayMondays" localSheetId="4">SUM((WEEKDAY(DATE(#REF!,5,(ROW(INDIRECT("1:"&amp;DAY(DATE(#REF!,5+1,0)))))))=2)*1)</definedName>
    <definedName name="MayMondays" localSheetId="5">SUM((WEEKDAY(DATE(#REF!,5,(ROW(INDIRECT("1:"&amp;DAY(DATE(#REF!,5+1,0)))))))=2)*1)</definedName>
    <definedName name="MayMondays" localSheetId="0">SUM((WEEKDAY(DATE(#REF!,5,(ROW(INDIRECT("1:"&amp;DAY(DATE(#REF!,5+1,0)))))))=2)*1)</definedName>
    <definedName name="MayMondays" localSheetId="1">SUM((WEEKDAY(DATE(#REF!,5,(ROW(INDIRECT("1:"&amp;DAY(DATE(#REF!,5+1,0)))))))=2)*1)</definedName>
    <definedName name="MayMondays" localSheetId="2">SUM((WEEKDAY(DATE('Income Statement 23-24'!CalYear,5,(ROW(INDIRECT("1:"&amp;DAY(DATE('Income Statement 23-24'!CalYear,5+1,0)))))))=2)*1)</definedName>
    <definedName name="MayMondays" localSheetId="7">SUM((WEEKDAY(DATE(#REF!,5,(ROW(INDIRECT("1:"&amp;DAY(DATE(#REF!,5+1,0)))))))=2)*1)</definedName>
    <definedName name="MayMondays" localSheetId="6">SUM((WEEKDAY(DATE('Members 23-24 Nos'!CalYear,5,(ROW(INDIRECT("1:"&amp;DAY(DATE('Members 23-24 Nos'!CalYear,5+1,0)))))))=2)*1)</definedName>
    <definedName name="MayMondays" localSheetId="8">SUM((WEEKDAY(DATE(#REF!,5,(ROW(INDIRECT("1:"&amp;DAY(DATE(#REF!,5+1,0)))))))=2)*1)</definedName>
    <definedName name="MayMondays">SUM((WEEKDAY(DATE(CalYear,5,(ROW(INDIRECT("1:"&amp;DAY(DATE(CalYear,5+1,0)))))))=2)*1)</definedName>
    <definedName name="MaySun1" localSheetId="3">DATEVALUE("5/1/"&amp;#REF!)-WEEKDAY(DATEVALUE("5/1/"&amp;#REF!))+1</definedName>
    <definedName name="MaySun1" localSheetId="4">DATEVALUE("5/1/"&amp;#REF!)-WEEKDAY(DATEVALUE("5/1/"&amp;#REF!))+1</definedName>
    <definedName name="MaySun1" localSheetId="5">DATEVALUE("5/1/"&amp;#REF!)-WEEKDAY(DATEVALUE("5/1/"&amp;#REF!))+1</definedName>
    <definedName name="MaySun1" localSheetId="0">DATEVALUE("5/1/"&amp;#REF!)-WEEKDAY(DATEVALUE("5/1/"&amp;#REF!))+1</definedName>
    <definedName name="MaySun1" localSheetId="1">DATEVALUE("5/1/"&amp;#REF!)-WEEKDAY(DATEVALUE("5/1/"&amp;#REF!))+1</definedName>
    <definedName name="MaySun1" localSheetId="2">DATEVALUE("5/1/"&amp;#REF!)-WEEKDAY(DATEVALUE("5/1/"&amp;#REF!))+1</definedName>
    <definedName name="MaySun1" localSheetId="7">DATEVALUE("5/1/"&amp;#REF!)-WEEKDAY(DATEVALUE("5/1/"&amp;#REF!))+1</definedName>
    <definedName name="MaySun1" localSheetId="6">DATEVALUE("5/1/"&amp;#REF!)-WEEKDAY(DATEVALUE("5/1/"&amp;#REF!))+1</definedName>
    <definedName name="MaySun1" localSheetId="8">DATEVALUE("5/1/"&amp;#REF!)-WEEKDAY(DATEVALUE("5/1/"&amp;#REF!))+1</definedName>
    <definedName name="MaySun1">DATEVALUE("5/1/"&amp;#REF!)-WEEKDAY(DATEVALUE("5/1/"&amp;#REF!))+1</definedName>
    <definedName name="Minutes" localSheetId="3">#REF! + DateOfFirst - WEEKDAY(DateOfFirst,2)</definedName>
    <definedName name="Minutes" localSheetId="4">#REF! + DateOfFirst - WEEKDAY(DateOfFirst,2)</definedName>
    <definedName name="Minutes" localSheetId="5">#REF! + DateOfFirst - WEEKDAY(DateOfFirst,2)</definedName>
    <definedName name="Minutes" localSheetId="0">#REF! + DateOfFirst - WEEKDAY(DateOfFirst,2)</definedName>
    <definedName name="Minutes" localSheetId="1">#REF! + DateOfFirst - WEEKDAY(DateOfFirst,2)</definedName>
    <definedName name="Minutes" localSheetId="2">#REF! + DateOfFirst - WEEKDAY(DateOfFirst,2)</definedName>
    <definedName name="Minutes" localSheetId="7">#REF! + DateOfFirst - WEEKDAY(DateOfFirst,2)</definedName>
    <definedName name="Minutes" localSheetId="6">#REF! + DateOfFirst - WEEKDAY(DateOfFirst,2)</definedName>
    <definedName name="Minutes" localSheetId="8">#REF! + DateOfFirst - WEEKDAY(DateOfFirst,2)</definedName>
    <definedName name="Minutes">#REF! + DateOfFirst - WEEKDAY(DateOfFirst,2)</definedName>
    <definedName name="NovSun1" localSheetId="3">DATEVALUE("11/1/"&amp;#REF!)-WEEKDAY(DATEVALUE("11/1/"&amp;#REF!))+1</definedName>
    <definedName name="NovSun1" localSheetId="4">DATEVALUE("11/1/"&amp;#REF!)-WEEKDAY(DATEVALUE("11/1/"&amp;#REF!))+1</definedName>
    <definedName name="NovSun1" localSheetId="5">DATEVALUE("11/1/"&amp;#REF!)-WEEKDAY(DATEVALUE("11/1/"&amp;#REF!))+1</definedName>
    <definedName name="NovSun1" localSheetId="0">DATEVALUE("11/1/"&amp;#REF!)-WEEKDAY(DATEVALUE("11/1/"&amp;#REF!))+1</definedName>
    <definedName name="NovSun1" localSheetId="1">DATEVALUE("11/1/"&amp;#REF!)-WEEKDAY(DATEVALUE("11/1/"&amp;#REF!))+1</definedName>
    <definedName name="NovSun1" localSheetId="2">DATEVALUE("11/1/"&amp;#REF!)-WEEKDAY(DATEVALUE("11/1/"&amp;#REF!))+1</definedName>
    <definedName name="NovSun1" localSheetId="7">DATEVALUE("11/1/"&amp;#REF!)-WEEKDAY(DATEVALUE("11/1/"&amp;#REF!))+1</definedName>
    <definedName name="NovSun1" localSheetId="6">DATEVALUE("11/1/"&amp;#REF!)-WEEKDAY(DATEVALUE("11/1/"&amp;#REF!))+1</definedName>
    <definedName name="NovSun1" localSheetId="8">DATEVALUE("11/1/"&amp;#REF!)-WEEKDAY(DATEVALUE("11/1/"&amp;#REF!))+1</definedName>
    <definedName name="NovSun1">DATEVALUE("11/1/"&amp;#REF!)-WEEKDAY(DATEVALUE("11/1/"&amp;#REF!))+1</definedName>
    <definedName name="Observed" localSheetId="3">#REF!</definedName>
    <definedName name="Observed" localSheetId="4">#REF!</definedName>
    <definedName name="Observed" localSheetId="5">#REF!</definedName>
    <definedName name="Observed" localSheetId="0">#REF!</definedName>
    <definedName name="Observed" localSheetId="1">#REF!</definedName>
    <definedName name="Observed" localSheetId="2">#REF!</definedName>
    <definedName name="Observed" localSheetId="7">#REF!</definedName>
    <definedName name="Observed" localSheetId="6">#REF!</definedName>
    <definedName name="Observed" localSheetId="8">#REF!</definedName>
    <definedName name="Observed">#REF!</definedName>
    <definedName name="OctSun1" localSheetId="3">DATEVALUE("10/1/"&amp;#REF!)-WEEKDAY(DATEVALUE("10/1/"&amp;#REF!))+1</definedName>
    <definedName name="OctSun1" localSheetId="4">DATEVALUE("10/1/"&amp;#REF!)-WEEKDAY(DATEVALUE("10/1/"&amp;#REF!))+1</definedName>
    <definedName name="OctSun1" localSheetId="5">DATEVALUE("10/1/"&amp;#REF!)-WEEKDAY(DATEVALUE("10/1/"&amp;#REF!))+1</definedName>
    <definedName name="OctSun1" localSheetId="0">DATEVALUE("10/1/"&amp;#REF!)-WEEKDAY(DATEVALUE("10/1/"&amp;#REF!))+1</definedName>
    <definedName name="OctSun1" localSheetId="1">DATEVALUE("10/1/"&amp;#REF!)-WEEKDAY(DATEVALUE("10/1/"&amp;#REF!))+1</definedName>
    <definedName name="OctSun1" localSheetId="2">DATEVALUE("10/1/"&amp;#REF!)-WEEKDAY(DATEVALUE("10/1/"&amp;#REF!))+1</definedName>
    <definedName name="OctSun1" localSheetId="7">DATEVALUE("10/1/"&amp;#REF!)-WEEKDAY(DATEVALUE("10/1/"&amp;#REF!))+1</definedName>
    <definedName name="OctSun1" localSheetId="6">DATEVALUE("10/1/"&amp;#REF!)-WEEKDAY(DATEVALUE("10/1/"&amp;#REF!))+1</definedName>
    <definedName name="OctSun1" localSheetId="8">DATEVALUE("10/1/"&amp;#REF!)-WEEKDAY(DATEVALUE("10/1/"&amp;#REF!))+1</definedName>
    <definedName name="OctSun1">DATEVALUE("10/1/"&amp;#REF!)-WEEKDAY(DATEVALUE("10/1/"&amp;#REF!))+1</definedName>
    <definedName name="_xlnm.Print_Area" localSheetId="3">'Balance Sheet 23-24'!$A$1:$K$89</definedName>
    <definedName name="_xlnm.Print_Area" localSheetId="4">'Banking &amp; InvestM 23-24'!$A$1:$O$72</definedName>
    <definedName name="_xlnm.Print_Area" localSheetId="5">'Capital 23-24'!$A$1:$I$88</definedName>
    <definedName name="_xlnm.Print_Area" localSheetId="0">'Financials Snapshot 23-24'!$A$1:$I$76</definedName>
    <definedName name="_xlnm.Print_Area" localSheetId="1">'Fiscal Highlights 23-24'!$A$1:$D$52</definedName>
    <definedName name="_xlnm.Print_Area" localSheetId="2">'Income Statement 23-24'!$A$1:$G$280</definedName>
    <definedName name="_xlnm.Print_Area" localSheetId="7">'MemberS 23-24 Lifetime'!$A$1:$H$70</definedName>
    <definedName name="_xlnm.Print_Area" localSheetId="6">'Members 23-24 Nos'!$A$1:$Q$54</definedName>
    <definedName name="_xlnm.Print_Area" localSheetId="8">'MemberS Intermediates 23-24'!$A$1:$J$76</definedName>
    <definedName name="_xlnm.Print_Titles" localSheetId="5">'Capital 23-24'!$1:$4</definedName>
    <definedName name="_xlnm.Print_Titles" localSheetId="0">'Financials Snapshot 23-24'!$2:$8</definedName>
    <definedName name="_xlnm.Print_Titles" localSheetId="1">'Fiscal Highlights 23-24'!$2:$5</definedName>
    <definedName name="_xlnm.Print_Titles" localSheetId="2">'Income Statement 23-24'!$1:$9</definedName>
    <definedName name="_xlnm.Print_Titles" localSheetId="7">'MemberS 23-24 Lifetime'!$1:$5</definedName>
    <definedName name="_xlnm.Print_Titles" localSheetId="6">'Members 23-24 Nos'!$1:$8</definedName>
    <definedName name="_xlnm.Print_Titles" localSheetId="8">'MemberS Intermediates 23-24'!$A:$C,'MemberS Intermediates 23-24'!$1:$9</definedName>
    <definedName name="RI">"#REF!"</definedName>
    <definedName name="SENIOR" localSheetId="3">#REF!</definedName>
    <definedName name="SENIOR" localSheetId="4">#REF!</definedName>
    <definedName name="SENIOR" localSheetId="5">#REF!</definedName>
    <definedName name="SENIOR" localSheetId="0">#REF!</definedName>
    <definedName name="SENIOR" localSheetId="1">#REF!</definedName>
    <definedName name="SENIOR" localSheetId="2">#REF!</definedName>
    <definedName name="SENIOR" localSheetId="7">#REF!</definedName>
    <definedName name="SENIOR" localSheetId="6">#REF!</definedName>
    <definedName name="SENIOR" localSheetId="8">#REF!</definedName>
    <definedName name="SENIOR">#REF!</definedName>
    <definedName name="SepSun1" localSheetId="3">DATEVALUE("9/1/"&amp;#REF!)-WEEKDAY(DATEVALUE("9/1/"&amp;#REF!))+1</definedName>
    <definedName name="SepSun1" localSheetId="4">DATEVALUE("9/1/"&amp;#REF!)-WEEKDAY(DATEVALUE("9/1/"&amp;#REF!))+1</definedName>
    <definedName name="SepSun1" localSheetId="5">DATEVALUE("9/1/"&amp;#REF!)-WEEKDAY(DATEVALUE("9/1/"&amp;#REF!))+1</definedName>
    <definedName name="SepSun1" localSheetId="0">DATEVALUE("9/1/"&amp;#REF!)-WEEKDAY(DATEVALUE("9/1/"&amp;#REF!))+1</definedName>
    <definedName name="SepSun1" localSheetId="1">DATEVALUE("9/1/"&amp;#REF!)-WEEKDAY(DATEVALUE("9/1/"&amp;#REF!))+1</definedName>
    <definedName name="SepSun1" localSheetId="2">DATEVALUE("9/1/"&amp;#REF!)-WEEKDAY(DATEVALUE("9/1/"&amp;#REF!))+1</definedName>
    <definedName name="SepSun1" localSheetId="7">DATEVALUE("9/1/"&amp;#REF!)-WEEKDAY(DATEVALUE("9/1/"&amp;#REF!))+1</definedName>
    <definedName name="SepSun1" localSheetId="6">DATEVALUE("9/1/"&amp;#REF!)-WEEKDAY(DATEVALUE("9/1/"&amp;#REF!))+1</definedName>
    <definedName name="SepSun1" localSheetId="8">DATEVALUE("9/1/"&amp;#REF!)-WEEKDAY(DATEVALUE("9/1/"&amp;#REF!))+1</definedName>
    <definedName name="SepSun1">DATEVALUE("9/1/"&amp;#REF!)-WEEKDAY(DATEVALUE("9/1/"&amp;#REF!))+1</definedName>
    <definedName name="ShowHolidays" localSheetId="3">#REF!</definedName>
    <definedName name="ShowHolidays" localSheetId="4">#REF!</definedName>
    <definedName name="ShowHolidays" localSheetId="5">#REF!</definedName>
    <definedName name="ShowHolidays" localSheetId="0">#REF!</definedName>
    <definedName name="ShowHolidays" localSheetId="1">#REF!</definedName>
    <definedName name="ShowHolidays" localSheetId="2">#REF!</definedName>
    <definedName name="ShowHolidays" localSheetId="7">#REF!</definedName>
    <definedName name="ShowHolidays" localSheetId="6">#REF!</definedName>
    <definedName name="ShowHolidays" localSheetId="8">#REF!</definedName>
    <definedName name="ShowHolidays">#REF!</definedName>
    <definedName name="ShowObserved" localSheetId="3">#REF!</definedName>
    <definedName name="ShowObserved" localSheetId="4">#REF!</definedName>
    <definedName name="ShowObserved" localSheetId="5">#REF!</definedName>
    <definedName name="ShowObserved" localSheetId="0">#REF!</definedName>
    <definedName name="ShowObserved" localSheetId="1">#REF!</definedName>
    <definedName name="ShowObserved" localSheetId="2">#REF!</definedName>
    <definedName name="ShowObserved" localSheetId="7">#REF!</definedName>
    <definedName name="ShowObserved" localSheetId="6">#REF!</definedName>
    <definedName name="ShowObserved" localSheetId="8">#REF!</definedName>
    <definedName name="ShowObserved">#REF!</definedName>
    <definedName name="SOCIAL" localSheetId="3">#REF!</definedName>
    <definedName name="SOCIAL" localSheetId="4">#REF!</definedName>
    <definedName name="SOCIAL" localSheetId="5">#REF!</definedName>
    <definedName name="SOCIAL" localSheetId="0">#REF!</definedName>
    <definedName name="SOCIAL" localSheetId="1">#REF!</definedName>
    <definedName name="SOCIAL" localSheetId="2">#REF!</definedName>
    <definedName name="SOCIAL" localSheetId="7">#REF!</definedName>
    <definedName name="SOCIAL" localSheetId="6">#REF!</definedName>
    <definedName name="SOCIAL" localSheetId="8">#REF!</definedName>
    <definedName name="SOCIAL">#REF!</definedName>
    <definedName name="WeekStart" localSheetId="3">#REF!</definedName>
    <definedName name="WeekStart" localSheetId="4">#REF!</definedName>
    <definedName name="WeekStart" localSheetId="5">#REF!</definedName>
    <definedName name="WeekStart" localSheetId="0">#REF!</definedName>
    <definedName name="WeekStart" localSheetId="1">#REF!</definedName>
    <definedName name="WeekStart" localSheetId="2">#REF!</definedName>
    <definedName name="WeekStart" localSheetId="7">#REF!</definedName>
    <definedName name="WeekStart" localSheetId="6">#REF!</definedName>
    <definedName name="WeekStart" localSheetId="8">#REF!</definedName>
    <definedName name="WeekStart">#REF!</definedName>
    <definedName name="wrn.ALL._.REPORTS." localSheetId="3" hidden="1">{"budget totals by year",#N/A,TRUE,"budg2005";"maint labor by year",#N/A,TRUE,"maint labor";"budget by month",#N/A,TRUE,"budg2005";"maint labor by month",#N/A,TRUE,"maint labor"}</definedName>
    <definedName name="wrn.ALL._.REPORTS." localSheetId="4" hidden="1">{"budget totals by year",#N/A,TRUE,"budg2005";"maint labor by year",#N/A,TRUE,"maint labor";"budget by month",#N/A,TRUE,"budg2005";"maint labor by month",#N/A,TRUE,"maint labor"}</definedName>
    <definedName name="wrn.ALL._.REPORTS." localSheetId="5" hidden="1">{"budget totals by year",#N/A,TRUE,"budg2005";"maint labor by year",#N/A,TRUE,"maint labor";"budget by month",#N/A,TRUE,"budg2005";"maint labor by month",#N/A,TRUE,"maint labor"}</definedName>
    <definedName name="wrn.ALL._.REPORTS." localSheetId="0" hidden="1">{"budget totals by year",#N/A,TRUE,"budg2005";"maint labor by year",#N/A,TRUE,"maint labor";"budget by month",#N/A,TRUE,"budg2005";"maint labor by month",#N/A,TRUE,"maint labor"}</definedName>
    <definedName name="wrn.ALL._.REPORTS." localSheetId="1" hidden="1">{"budget totals by year",#N/A,TRUE,"budg2005";"maint labor by year",#N/A,TRUE,"maint labor";"budget by month",#N/A,TRUE,"budg2005";"maint labor by month",#N/A,TRUE,"maint labor"}</definedName>
    <definedName name="wrn.ALL._.REPORTS." localSheetId="2" hidden="1">{"budget totals by year",#N/A,TRUE,"budg2005";"maint labor by year",#N/A,TRUE,"maint labor";"budget by month",#N/A,TRUE,"budg2005";"maint labor by month",#N/A,TRUE,"maint labor"}</definedName>
    <definedName name="wrn.ALL._.REPORTS." localSheetId="7" hidden="1">{"budget totals by year",#N/A,TRUE,"budg2005";"maint labor by year",#N/A,TRUE,"maint labor";"budget by month",#N/A,TRUE,"budg2005";"maint labor by month",#N/A,TRUE,"maint labor"}</definedName>
    <definedName name="wrn.ALL._.REPORTS." localSheetId="6" hidden="1">{"budget totals by year",#N/A,TRUE,"budg2005";"maint labor by year",#N/A,TRUE,"maint labor";"budget by month",#N/A,TRUE,"budg2005";"maint labor by month",#N/A,TRUE,"maint labor"}</definedName>
    <definedName name="wrn.ALL._.REPORTS." localSheetId="8" hidden="1">{"budget totals by year",#N/A,TRUE,"budg2005";"maint labor by year",#N/A,TRUE,"maint labor";"budget by month",#N/A,TRUE,"budg2005";"maint labor by month",#N/A,TRUE,"maint labor"}</definedName>
    <definedName name="wrn.ALL._.REPORTS." hidden="1">{"budget totals by year",#N/A,TRUE,"budg2005";"maint labor by year",#N/A,TRUE,"maint labor";"budget by month",#N/A,TRUE,"budg2005";"maint labor by month",#N/A,TRUE,"maint labor"}</definedName>
    <definedName name="wrn.BY._.MONTH." localSheetId="3" hidden="1">{"budget by month",#N/A,TRUE,"budg2005";"maint labor by month",#N/A,TRUE,"maint labor"}</definedName>
    <definedName name="wrn.BY._.MONTH." localSheetId="4" hidden="1">{"budget by month",#N/A,TRUE,"budg2005";"maint labor by month",#N/A,TRUE,"maint labor"}</definedName>
    <definedName name="wrn.BY._.MONTH." localSheetId="5" hidden="1">{"budget by month",#N/A,TRUE,"budg2005";"maint labor by month",#N/A,TRUE,"maint labor"}</definedName>
    <definedName name="wrn.BY._.MONTH." localSheetId="0" hidden="1">{"budget by month",#N/A,TRUE,"budg2005";"maint labor by month",#N/A,TRUE,"maint labor"}</definedName>
    <definedName name="wrn.BY._.MONTH." localSheetId="1" hidden="1">{"budget by month",#N/A,TRUE,"budg2005";"maint labor by month",#N/A,TRUE,"maint labor"}</definedName>
    <definedName name="wrn.BY._.MONTH." localSheetId="2" hidden="1">{"budget by month",#N/A,TRUE,"budg2005";"maint labor by month",#N/A,TRUE,"maint labor"}</definedName>
    <definedName name="wrn.BY._.MONTH." localSheetId="7" hidden="1">{"budget by month",#N/A,TRUE,"budg2005";"maint labor by month",#N/A,TRUE,"maint labor"}</definedName>
    <definedName name="wrn.BY._.MONTH." localSheetId="6" hidden="1">{"budget by month",#N/A,TRUE,"budg2005";"maint labor by month",#N/A,TRUE,"maint labor"}</definedName>
    <definedName name="wrn.BY._.MONTH." localSheetId="8" hidden="1">{"budget by month",#N/A,TRUE,"budg2005";"maint labor by month",#N/A,TRUE,"maint labor"}</definedName>
    <definedName name="wrn.BY._.MONTH." hidden="1">{"budget by month",#N/A,TRUE,"budg2005";"maint labor by month",#N/A,TRUE,"maint labor"}</definedName>
    <definedName name="wrn.TOTALS._.BY._.YEAR." localSheetId="3" hidden="1">{"budget totals by year",#N/A,TRUE,"budg2005";"maint labor by year",#N/A,TRUE,"maint labor"}</definedName>
    <definedName name="wrn.TOTALS._.BY._.YEAR." localSheetId="4" hidden="1">{"budget totals by year",#N/A,TRUE,"budg2005";"maint labor by year",#N/A,TRUE,"maint labor"}</definedName>
    <definedName name="wrn.TOTALS._.BY._.YEAR." localSheetId="5" hidden="1">{"budget totals by year",#N/A,TRUE,"budg2005";"maint labor by year",#N/A,TRUE,"maint labor"}</definedName>
    <definedName name="wrn.TOTALS._.BY._.YEAR." localSheetId="0" hidden="1">{"budget totals by year",#N/A,TRUE,"budg2005";"maint labor by year",#N/A,TRUE,"maint labor"}</definedName>
    <definedName name="wrn.TOTALS._.BY._.YEAR." localSheetId="1" hidden="1">{"budget totals by year",#N/A,TRUE,"budg2005";"maint labor by year",#N/A,TRUE,"maint labor"}</definedName>
    <definedName name="wrn.TOTALS._.BY._.YEAR." localSheetId="2" hidden="1">{"budget totals by year",#N/A,TRUE,"budg2005";"maint labor by year",#N/A,TRUE,"maint labor"}</definedName>
    <definedName name="wrn.TOTALS._.BY._.YEAR." localSheetId="7" hidden="1">{"budget totals by year",#N/A,TRUE,"budg2005";"maint labor by year",#N/A,TRUE,"maint labor"}</definedName>
    <definedName name="wrn.TOTALS._.BY._.YEAR." localSheetId="6" hidden="1">{"budget totals by year",#N/A,TRUE,"budg2005";"maint labor by year",#N/A,TRUE,"maint labor"}</definedName>
    <definedName name="wrn.TOTALS._.BY._.YEAR." localSheetId="8" hidden="1">{"budget totals by year",#N/A,TRUE,"budg2005";"maint labor by year",#N/A,TRUE,"maint labor"}</definedName>
    <definedName name="wrn.TOTALS._.BY._.YEAR." hidden="1">{"budget totals by year",#N/A,TRUE,"budg2005";"maint labor by year",#N/A,TRUE,"maint labor"}</definedName>
    <definedName name="Year" localSheetId="3">#REF!</definedName>
    <definedName name="Year" localSheetId="4">#REF!</definedName>
    <definedName name="Year" localSheetId="5">#REF!</definedName>
    <definedName name="Year" localSheetId="0">#REF!</definedName>
    <definedName name="Year" localSheetId="1">#REF!</definedName>
    <definedName name="Year" localSheetId="2">#REF!</definedName>
    <definedName name="Year" localSheetId="7">#REF!</definedName>
    <definedName name="Year" localSheetId="6">#REF!</definedName>
    <definedName name="Year" localSheetId="8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H21" i="7"/>
  <c r="I21" i="7"/>
  <c r="J21" i="7"/>
  <c r="K21" i="7"/>
  <c r="L21" i="7"/>
  <c r="M21" i="7"/>
  <c r="N21" i="7"/>
  <c r="O21" i="7"/>
  <c r="P21" i="7"/>
  <c r="Q21" i="7"/>
  <c r="F21" i="7"/>
  <c r="I18" i="7"/>
  <c r="J18" i="7"/>
  <c r="K18" i="7"/>
  <c r="L18" i="7"/>
  <c r="M18" i="7"/>
  <c r="N18" i="7"/>
  <c r="O18" i="7"/>
  <c r="P18" i="7"/>
  <c r="Q18" i="7"/>
  <c r="H18" i="7"/>
  <c r="G30" i="1"/>
  <c r="F20" i="1"/>
  <c r="G21" i="6"/>
  <c r="H19" i="6"/>
  <c r="F69" i="15" l="1"/>
  <c r="F56" i="15"/>
  <c r="F53" i="15"/>
  <c r="F59" i="15" s="1"/>
  <c r="F71" i="15" s="1"/>
  <c r="L48" i="15"/>
  <c r="F45" i="15"/>
  <c r="F37" i="15"/>
  <c r="F30" i="15"/>
  <c r="C29" i="15"/>
  <c r="C43" i="15" s="1"/>
  <c r="F23" i="15"/>
  <c r="F55" i="15" s="1"/>
  <c r="F57" i="15" s="1"/>
  <c r="K16" i="15"/>
  <c r="H16" i="15"/>
  <c r="F16" i="15"/>
  <c r="F61" i="15" s="1"/>
  <c r="L13" i="15"/>
  <c r="L12" i="15"/>
  <c r="L16" i="15" s="1"/>
  <c r="F38" i="15" l="1"/>
  <c r="C36" i="15"/>
  <c r="D42" i="1" l="1"/>
  <c r="D27" i="1"/>
  <c r="C12" i="10" l="1"/>
  <c r="H57" i="12" l="1"/>
  <c r="G40" i="11"/>
  <c r="G39" i="11"/>
  <c r="G38" i="11"/>
  <c r="G37" i="11"/>
  <c r="G36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C264" i="10"/>
  <c r="D263" i="10"/>
  <c r="D262" i="10"/>
  <c r="D261" i="10"/>
  <c r="F261" i="10" s="1"/>
  <c r="D260" i="10"/>
  <c r="F260" i="10" s="1"/>
  <c r="C260" i="10"/>
  <c r="D259" i="10"/>
  <c r="E259" i="10" s="1"/>
  <c r="D258" i="10"/>
  <c r="C258" i="10"/>
  <c r="D257" i="10"/>
  <c r="D256" i="10"/>
  <c r="E256" i="10" s="1"/>
  <c r="D255" i="10"/>
  <c r="C255" i="10"/>
  <c r="D254" i="10"/>
  <c r="D253" i="10"/>
  <c r="F253" i="10" s="1"/>
  <c r="D252" i="10"/>
  <c r="F252" i="10" s="1"/>
  <c r="D251" i="10"/>
  <c r="E251" i="10" s="1"/>
  <c r="D242" i="10"/>
  <c r="C242" i="10"/>
  <c r="D241" i="10"/>
  <c r="F241" i="10" s="1"/>
  <c r="D240" i="10"/>
  <c r="C240" i="10"/>
  <c r="F239" i="10"/>
  <c r="E239" i="10"/>
  <c r="D235" i="10"/>
  <c r="C235" i="10"/>
  <c r="D234" i="10"/>
  <c r="F234" i="10" s="1"/>
  <c r="D233" i="10"/>
  <c r="C233" i="10"/>
  <c r="F232" i="10"/>
  <c r="E232" i="10"/>
  <c r="D227" i="10"/>
  <c r="C227" i="10"/>
  <c r="D226" i="10"/>
  <c r="C226" i="10"/>
  <c r="D225" i="10"/>
  <c r="F225" i="10" s="1"/>
  <c r="D224" i="10"/>
  <c r="C224" i="10"/>
  <c r="D223" i="10"/>
  <c r="C223" i="10"/>
  <c r="D222" i="10"/>
  <c r="C222" i="10"/>
  <c r="D221" i="10"/>
  <c r="C221" i="10"/>
  <c r="D220" i="10"/>
  <c r="E220" i="10" s="1"/>
  <c r="D219" i="10"/>
  <c r="F219" i="10" s="1"/>
  <c r="C219" i="10"/>
  <c r="D218" i="10"/>
  <c r="F218" i="10" s="1"/>
  <c r="D217" i="10"/>
  <c r="C217" i="10"/>
  <c r="F216" i="10"/>
  <c r="E216" i="10"/>
  <c r="D212" i="10"/>
  <c r="C212" i="10"/>
  <c r="D211" i="10"/>
  <c r="C211" i="10"/>
  <c r="D210" i="10"/>
  <c r="F210" i="10" s="1"/>
  <c r="C210" i="10"/>
  <c r="D209" i="10"/>
  <c r="C209" i="10"/>
  <c r="F208" i="10"/>
  <c r="E208" i="10"/>
  <c r="F207" i="10"/>
  <c r="E207" i="10"/>
  <c r="D203" i="10"/>
  <c r="C203" i="10"/>
  <c r="D202" i="10"/>
  <c r="C202" i="10"/>
  <c r="D201" i="10"/>
  <c r="F201" i="10" s="1"/>
  <c r="D200" i="10"/>
  <c r="F200" i="10" s="1"/>
  <c r="D199" i="10"/>
  <c r="D198" i="10"/>
  <c r="F198" i="10" s="1"/>
  <c r="D197" i="10"/>
  <c r="E197" i="10" s="1"/>
  <c r="D196" i="10"/>
  <c r="C196" i="10"/>
  <c r="D195" i="10"/>
  <c r="C195" i="10"/>
  <c r="D194" i="10"/>
  <c r="F194" i="10" s="1"/>
  <c r="C194" i="10"/>
  <c r="D193" i="10"/>
  <c r="E193" i="10" s="1"/>
  <c r="D192" i="10"/>
  <c r="F192" i="10" s="1"/>
  <c r="D191" i="10"/>
  <c r="C191" i="10"/>
  <c r="D190" i="10"/>
  <c r="C190" i="10"/>
  <c r="D189" i="10"/>
  <c r="F189" i="10" s="1"/>
  <c r="D188" i="10"/>
  <c r="C188" i="10"/>
  <c r="D187" i="10"/>
  <c r="E187" i="10" s="1"/>
  <c r="D186" i="10"/>
  <c r="C186" i="10"/>
  <c r="D185" i="10"/>
  <c r="F185" i="10" s="1"/>
  <c r="D184" i="10"/>
  <c r="F184" i="10" s="1"/>
  <c r="D183" i="10"/>
  <c r="C183" i="10"/>
  <c r="D182" i="10"/>
  <c r="F182" i="10" s="1"/>
  <c r="D181" i="10"/>
  <c r="C181" i="10"/>
  <c r="D180" i="10"/>
  <c r="C180" i="10"/>
  <c r="D179" i="10"/>
  <c r="E179" i="10" s="1"/>
  <c r="D178" i="10"/>
  <c r="D177" i="10"/>
  <c r="C177" i="10"/>
  <c r="D176" i="10"/>
  <c r="F176" i="10" s="1"/>
  <c r="D175" i="10"/>
  <c r="F175" i="10" s="1"/>
  <c r="D174" i="10"/>
  <c r="C174" i="10"/>
  <c r="D173" i="10"/>
  <c r="F173" i="10" s="1"/>
  <c r="D172" i="10"/>
  <c r="F172" i="10" s="1"/>
  <c r="D171" i="10"/>
  <c r="F171" i="10" s="1"/>
  <c r="D170" i="10"/>
  <c r="C170" i="10"/>
  <c r="D169" i="10"/>
  <c r="D168" i="10"/>
  <c r="E168" i="10" s="1"/>
  <c r="D167" i="10"/>
  <c r="F167" i="10" s="1"/>
  <c r="D166" i="10"/>
  <c r="C166" i="10"/>
  <c r="D165" i="10"/>
  <c r="E165" i="10" s="1"/>
  <c r="D164" i="10"/>
  <c r="D163" i="10"/>
  <c r="C163" i="10"/>
  <c r="D162" i="10"/>
  <c r="E162" i="10" s="1"/>
  <c r="D161" i="10"/>
  <c r="C161" i="10"/>
  <c r="D160" i="10"/>
  <c r="C160" i="10"/>
  <c r="D159" i="10"/>
  <c r="F159" i="10" s="1"/>
  <c r="D158" i="10"/>
  <c r="C158" i="10"/>
  <c r="D157" i="10"/>
  <c r="C157" i="10"/>
  <c r="D156" i="10"/>
  <c r="F156" i="10" s="1"/>
  <c r="D155" i="10"/>
  <c r="D154" i="10"/>
  <c r="C154" i="10"/>
  <c r="D153" i="10"/>
  <c r="C153" i="10"/>
  <c r="D152" i="10"/>
  <c r="F152" i="10" s="1"/>
  <c r="D151" i="10"/>
  <c r="C151" i="10"/>
  <c r="D150" i="10"/>
  <c r="F150" i="10" s="1"/>
  <c r="D149" i="10"/>
  <c r="F149" i="10" s="1"/>
  <c r="D148" i="10"/>
  <c r="D147" i="10"/>
  <c r="C147" i="10"/>
  <c r="D146" i="10"/>
  <c r="C146" i="10"/>
  <c r="D145" i="10"/>
  <c r="F145" i="10" s="1"/>
  <c r="D144" i="10"/>
  <c r="E144" i="10" s="1"/>
  <c r="D143" i="10"/>
  <c r="F143" i="10" s="1"/>
  <c r="D142" i="10"/>
  <c r="C142" i="10"/>
  <c r="D141" i="10"/>
  <c r="D140" i="10"/>
  <c r="F139" i="10"/>
  <c r="E139" i="10"/>
  <c r="D135" i="10"/>
  <c r="C135" i="10"/>
  <c r="D134" i="10"/>
  <c r="C134" i="10"/>
  <c r="F133" i="10"/>
  <c r="E133" i="10"/>
  <c r="D132" i="10"/>
  <c r="F132" i="10" s="1"/>
  <c r="D131" i="10"/>
  <c r="F131" i="10" s="1"/>
  <c r="C131" i="10"/>
  <c r="D130" i="10"/>
  <c r="F130" i="10" s="1"/>
  <c r="D126" i="10"/>
  <c r="D125" i="10"/>
  <c r="F125" i="10" s="1"/>
  <c r="C125" i="10"/>
  <c r="D124" i="10"/>
  <c r="F124" i="10" s="1"/>
  <c r="D123" i="10"/>
  <c r="F123" i="10" s="1"/>
  <c r="C123" i="10"/>
  <c r="D122" i="10"/>
  <c r="F122" i="10" s="1"/>
  <c r="D121" i="10"/>
  <c r="C121" i="10"/>
  <c r="D120" i="10"/>
  <c r="F120" i="10" s="1"/>
  <c r="C120" i="10"/>
  <c r="D119" i="10"/>
  <c r="F119" i="10" s="1"/>
  <c r="C119" i="10"/>
  <c r="D118" i="10"/>
  <c r="F118" i="10" s="1"/>
  <c r="D117" i="10"/>
  <c r="E117" i="10" s="1"/>
  <c r="D116" i="10"/>
  <c r="C116" i="10"/>
  <c r="D115" i="10"/>
  <c r="C115" i="10"/>
  <c r="D114" i="10"/>
  <c r="E114" i="10" s="1"/>
  <c r="D113" i="10"/>
  <c r="C113" i="10"/>
  <c r="D112" i="10"/>
  <c r="C112" i="10"/>
  <c r="D111" i="10"/>
  <c r="C111" i="10"/>
  <c r="D110" i="10"/>
  <c r="C110" i="10"/>
  <c r="C109" i="10"/>
  <c r="D108" i="10"/>
  <c r="F108" i="10" s="1"/>
  <c r="D107" i="10"/>
  <c r="F107" i="10" s="1"/>
  <c r="D106" i="10"/>
  <c r="E106" i="10" s="1"/>
  <c r="D105" i="10"/>
  <c r="E105" i="10" s="1"/>
  <c r="D104" i="10"/>
  <c r="F104" i="10" s="1"/>
  <c r="D103" i="10"/>
  <c r="F103" i="10" s="1"/>
  <c r="D102" i="10"/>
  <c r="D101" i="10"/>
  <c r="C101" i="10"/>
  <c r="D100" i="10"/>
  <c r="E100" i="10" s="1"/>
  <c r="D99" i="10"/>
  <c r="E99" i="10" s="1"/>
  <c r="D98" i="10"/>
  <c r="F98" i="10" s="1"/>
  <c r="D97" i="10"/>
  <c r="C97" i="10"/>
  <c r="D96" i="10"/>
  <c r="C96" i="10"/>
  <c r="D95" i="10"/>
  <c r="C95" i="10"/>
  <c r="D94" i="10"/>
  <c r="C94" i="10"/>
  <c r="D93" i="10"/>
  <c r="C93" i="10"/>
  <c r="D92" i="10"/>
  <c r="C92" i="10"/>
  <c r="D90" i="10"/>
  <c r="F90" i="10" s="1"/>
  <c r="C90" i="10"/>
  <c r="D89" i="10"/>
  <c r="F89" i="10" s="1"/>
  <c r="C89" i="10"/>
  <c r="D88" i="10"/>
  <c r="F88" i="10" s="1"/>
  <c r="D87" i="10"/>
  <c r="F87" i="10" s="1"/>
  <c r="C87" i="10"/>
  <c r="D86" i="10"/>
  <c r="C86" i="10"/>
  <c r="D85" i="10"/>
  <c r="E85" i="10" s="1"/>
  <c r="D84" i="10"/>
  <c r="C84" i="10"/>
  <c r="D83" i="10"/>
  <c r="C83" i="10"/>
  <c r="D82" i="10"/>
  <c r="D81" i="10"/>
  <c r="C81" i="10"/>
  <c r="D79" i="10"/>
  <c r="C79" i="10"/>
  <c r="D78" i="10"/>
  <c r="F78" i="10" s="1"/>
  <c r="C78" i="10"/>
  <c r="D77" i="10"/>
  <c r="D75" i="10"/>
  <c r="F75" i="10" s="1"/>
  <c r="D74" i="10"/>
  <c r="F74" i="10" s="1"/>
  <c r="C74" i="10"/>
  <c r="D73" i="10"/>
  <c r="F73" i="10" s="1"/>
  <c r="C73" i="10"/>
  <c r="D72" i="10"/>
  <c r="F72" i="10" s="1"/>
  <c r="C72" i="10"/>
  <c r="D71" i="10"/>
  <c r="F71" i="10" s="1"/>
  <c r="C71" i="10"/>
  <c r="D70" i="10"/>
  <c r="F70" i="10" s="1"/>
  <c r="C70" i="10"/>
  <c r="D69" i="10"/>
  <c r="F69" i="10" s="1"/>
  <c r="C69" i="10"/>
  <c r="D68" i="10"/>
  <c r="E68" i="10" s="1"/>
  <c r="D67" i="10"/>
  <c r="C67" i="10"/>
  <c r="D66" i="10"/>
  <c r="C66" i="10"/>
  <c r="D65" i="10"/>
  <c r="C65" i="10"/>
  <c r="D64" i="10"/>
  <c r="F64" i="10" s="1"/>
  <c r="C64" i="10"/>
  <c r="D63" i="10"/>
  <c r="C63" i="10"/>
  <c r="D62" i="10"/>
  <c r="F62" i="10" s="1"/>
  <c r="D61" i="10"/>
  <c r="C56" i="10"/>
  <c r="D55" i="10"/>
  <c r="F55" i="10" s="1"/>
  <c r="D50" i="10"/>
  <c r="F50" i="10" s="1"/>
  <c r="D49" i="10"/>
  <c r="C49" i="10"/>
  <c r="C48" i="10"/>
  <c r="D47" i="10"/>
  <c r="F47" i="10" s="1"/>
  <c r="D46" i="10"/>
  <c r="F46" i="10" s="1"/>
  <c r="D45" i="10"/>
  <c r="E45" i="10" s="1"/>
  <c r="D44" i="10"/>
  <c r="E44" i="10" s="1"/>
  <c r="D43" i="10"/>
  <c r="F43" i="10" s="1"/>
  <c r="C43" i="10"/>
  <c r="D41" i="10"/>
  <c r="F41" i="10" s="1"/>
  <c r="C41" i="10"/>
  <c r="D40" i="10"/>
  <c r="F40" i="10" s="1"/>
  <c r="C40" i="10"/>
  <c r="D39" i="10"/>
  <c r="D38" i="10"/>
  <c r="F38" i="10" s="1"/>
  <c r="D37" i="10"/>
  <c r="D36" i="10"/>
  <c r="C36" i="10"/>
  <c r="D35" i="10"/>
  <c r="E35" i="10" s="1"/>
  <c r="D34" i="10"/>
  <c r="C34" i="10"/>
  <c r="D32" i="10"/>
  <c r="F32" i="10" s="1"/>
  <c r="C32" i="10"/>
  <c r="D31" i="10"/>
  <c r="F31" i="10" s="1"/>
  <c r="C31" i="10"/>
  <c r="D30" i="10"/>
  <c r="F30" i="10" s="1"/>
  <c r="C30" i="10"/>
  <c r="D29" i="10"/>
  <c r="F29" i="10" s="1"/>
  <c r="C29" i="10"/>
  <c r="D28" i="10"/>
  <c r="F28" i="10" s="1"/>
  <c r="D26" i="10"/>
  <c r="D25" i="10"/>
  <c r="F25" i="10" s="1"/>
  <c r="C25" i="10"/>
  <c r="C27" i="10" s="1"/>
  <c r="D24" i="10"/>
  <c r="F24" i="10" s="1"/>
  <c r="D23" i="10"/>
  <c r="D22" i="10"/>
  <c r="E22" i="10" s="1"/>
  <c r="D21" i="10"/>
  <c r="F21" i="10" s="1"/>
  <c r="D20" i="10"/>
  <c r="E20" i="10" s="1"/>
  <c r="D19" i="10"/>
  <c r="C19" i="10"/>
  <c r="D18" i="10"/>
  <c r="C18" i="10"/>
  <c r="D17" i="10"/>
  <c r="C17" i="10"/>
  <c r="D15" i="10"/>
  <c r="F15" i="10" s="1"/>
  <c r="C15" i="10"/>
  <c r="D14" i="10"/>
  <c r="F14" i="10" s="1"/>
  <c r="C14" i="10"/>
  <c r="D13" i="10"/>
  <c r="F13" i="10" s="1"/>
  <c r="C13" i="10"/>
  <c r="D12" i="10"/>
  <c r="F12" i="10" s="1"/>
  <c r="E258" i="10" l="1"/>
  <c r="E14" i="10"/>
  <c r="E223" i="10"/>
  <c r="E13" i="10"/>
  <c r="E134" i="10"/>
  <c r="E196" i="10"/>
  <c r="E41" i="10"/>
  <c r="F154" i="10"/>
  <c r="E167" i="10"/>
  <c r="E18" i="10"/>
  <c r="E89" i="10"/>
  <c r="E151" i="10"/>
  <c r="E211" i="10"/>
  <c r="E174" i="10"/>
  <c r="E188" i="10"/>
  <c r="E66" i="10"/>
  <c r="E36" i="10"/>
  <c r="E233" i="10"/>
  <c r="E67" i="10"/>
  <c r="F83" i="10"/>
  <c r="E255" i="10"/>
  <c r="C76" i="10"/>
  <c r="E131" i="10"/>
  <c r="E147" i="10"/>
  <c r="F65" i="10"/>
  <c r="E78" i="10"/>
  <c r="E31" i="10"/>
  <c r="E94" i="10"/>
  <c r="F110" i="10"/>
  <c r="F49" i="10"/>
  <c r="F34" i="10"/>
  <c r="E157" i="10"/>
  <c r="E186" i="10"/>
  <c r="F233" i="10"/>
  <c r="E101" i="10"/>
  <c r="E161" i="10"/>
  <c r="F44" i="10"/>
  <c r="E221" i="10"/>
  <c r="E260" i="10"/>
  <c r="F135" i="10"/>
  <c r="E152" i="10"/>
  <c r="E32" i="10"/>
  <c r="E240" i="10"/>
  <c r="E70" i="10"/>
  <c r="F242" i="10"/>
  <c r="F96" i="10"/>
  <c r="F112" i="10"/>
  <c r="E170" i="10"/>
  <c r="E158" i="10"/>
  <c r="E73" i="10"/>
  <c r="E50" i="10"/>
  <c r="E171" i="10"/>
  <c r="F160" i="10"/>
  <c r="E43" i="10"/>
  <c r="E84" i="10"/>
  <c r="E96" i="10"/>
  <c r="F221" i="10"/>
  <c r="E242" i="10"/>
  <c r="E97" i="10"/>
  <c r="F66" i="10"/>
  <c r="E64" i="10"/>
  <c r="E112" i="10"/>
  <c r="E123" i="10"/>
  <c r="E166" i="10"/>
  <c r="C243" i="10"/>
  <c r="E30" i="10"/>
  <c r="E113" i="10"/>
  <c r="E154" i="10"/>
  <c r="F180" i="10"/>
  <c r="E194" i="10"/>
  <c r="D213" i="10"/>
  <c r="F223" i="10"/>
  <c r="F240" i="10"/>
  <c r="F144" i="10"/>
  <c r="E181" i="10"/>
  <c r="E210" i="10"/>
  <c r="E79" i="10"/>
  <c r="E146" i="10"/>
  <c r="F226" i="10"/>
  <c r="E19" i="10"/>
  <c r="E34" i="10"/>
  <c r="E49" i="10"/>
  <c r="F68" i="10"/>
  <c r="F79" i="10"/>
  <c r="F158" i="10"/>
  <c r="E195" i="10"/>
  <c r="C80" i="10"/>
  <c r="E93" i="10"/>
  <c r="F186" i="10"/>
  <c r="E108" i="10"/>
  <c r="F114" i="10"/>
  <c r="E83" i="10"/>
  <c r="D136" i="10"/>
  <c r="E135" i="10"/>
  <c r="F211" i="10"/>
  <c r="E110" i="10"/>
  <c r="F151" i="10"/>
  <c r="E203" i="10"/>
  <c r="E235" i="10"/>
  <c r="E40" i="10"/>
  <c r="D48" i="10"/>
  <c r="F48" i="10" s="1"/>
  <c r="E160" i="10"/>
  <c r="F187" i="10"/>
  <c r="F20" i="10"/>
  <c r="F99" i="10"/>
  <c r="F115" i="10"/>
  <c r="E172" i="10"/>
  <c r="F195" i="10"/>
  <c r="F203" i="10"/>
  <c r="F45" i="10"/>
  <c r="E88" i="10"/>
  <c r="F168" i="10"/>
  <c r="F85" i="10"/>
  <c r="E182" i="10"/>
  <c r="F193" i="10"/>
  <c r="E261" i="10"/>
  <c r="F92" i="10"/>
  <c r="E185" i="10"/>
  <c r="F220" i="10"/>
  <c r="F36" i="10"/>
  <c r="D56" i="10"/>
  <c r="F56" i="10" s="1"/>
  <c r="F165" i="10"/>
  <c r="F100" i="10"/>
  <c r="F161" i="10"/>
  <c r="E253" i="10"/>
  <c r="E28" i="10"/>
  <c r="E132" i="10"/>
  <c r="E218" i="10"/>
  <c r="F22" i="10"/>
  <c r="D42" i="10"/>
  <c r="E47" i="10"/>
  <c r="E62" i="10"/>
  <c r="E74" i="10"/>
  <c r="D91" i="10"/>
  <c r="F94" i="10"/>
  <c r="F101" i="10"/>
  <c r="F117" i="10"/>
  <c r="D127" i="10"/>
  <c r="C136" i="10"/>
  <c r="F147" i="10"/>
  <c r="F162" i="10"/>
  <c r="F179" i="10"/>
  <c r="E183" i="10"/>
  <c r="F190" i="10"/>
  <c r="F197" i="10"/>
  <c r="E212" i="10"/>
  <c r="E254" i="10"/>
  <c r="F35" i="10"/>
  <c r="F251" i="10"/>
  <c r="F17" i="10"/>
  <c r="D76" i="10"/>
  <c r="E200" i="10"/>
  <c r="F227" i="10"/>
  <c r="F81" i="10"/>
  <c r="F105" i="10"/>
  <c r="F177" i="10"/>
  <c r="C204" i="10"/>
  <c r="F106" i="10"/>
  <c r="E12" i="10"/>
  <c r="E15" i="10"/>
  <c r="F19" i="10"/>
  <c r="E72" i="10"/>
  <c r="E87" i="10"/>
  <c r="E90" i="10"/>
  <c r="E95" i="10"/>
  <c r="E111" i="10"/>
  <c r="E163" i="10"/>
  <c r="F174" i="10"/>
  <c r="E180" i="10"/>
  <c r="E191" i="10"/>
  <c r="E219" i="10"/>
  <c r="D243" i="10"/>
  <c r="D264" i="10"/>
  <c r="F264" i="10" s="1"/>
  <c r="F121" i="10"/>
  <c r="E121" i="10"/>
  <c r="E125" i="10"/>
  <c r="C127" i="10"/>
  <c r="F141" i="10"/>
  <c r="E141" i="10"/>
  <c r="F37" i="10"/>
  <c r="E37" i="10"/>
  <c r="E63" i="10"/>
  <c r="D80" i="10"/>
  <c r="F80" i="10" s="1"/>
  <c r="F77" i="10"/>
  <c r="E86" i="10"/>
  <c r="E103" i="10"/>
  <c r="E118" i="10"/>
  <c r="E145" i="10"/>
  <c r="F155" i="10"/>
  <c r="E155" i="10"/>
  <c r="F196" i="10"/>
  <c r="E262" i="10"/>
  <c r="F63" i="10"/>
  <c r="E71" i="10"/>
  <c r="E77" i="10"/>
  <c r="F86" i="10"/>
  <c r="E115" i="10"/>
  <c r="F142" i="10"/>
  <c r="F166" i="10"/>
  <c r="F169" i="10"/>
  <c r="E169" i="10"/>
  <c r="F183" i="10"/>
  <c r="E209" i="10"/>
  <c r="C213" i="10"/>
  <c r="E224" i="10"/>
  <c r="F224" i="10"/>
  <c r="F262" i="10"/>
  <c r="F18" i="10"/>
  <c r="E25" i="10"/>
  <c r="E38" i="10"/>
  <c r="E69" i="10"/>
  <c r="F126" i="10"/>
  <c r="E126" i="10"/>
  <c r="E142" i="10"/>
  <c r="E150" i="10"/>
  <c r="E156" i="10"/>
  <c r="E177" i="10"/>
  <c r="F212" i="10"/>
  <c r="E234" i="10"/>
  <c r="E81" i="10"/>
  <c r="F84" i="10"/>
  <c r="F113" i="10"/>
  <c r="E116" i="10"/>
  <c r="F116" i="10"/>
  <c r="E153" i="10"/>
  <c r="F153" i="10"/>
  <c r="F163" i="10"/>
  <c r="F170" i="10"/>
  <c r="F191" i="10"/>
  <c r="E201" i="10"/>
  <c r="F209" i="10"/>
  <c r="F26" i="10"/>
  <c r="E26" i="10"/>
  <c r="C91" i="10"/>
  <c r="F111" i="10"/>
  <c r="E130" i="10"/>
  <c r="F178" i="10"/>
  <c r="E178" i="10"/>
  <c r="E198" i="10"/>
  <c r="E222" i="10"/>
  <c r="F222" i="10"/>
  <c r="E257" i="10"/>
  <c r="C265" i="10"/>
  <c r="C16" i="10"/>
  <c r="D27" i="10"/>
  <c r="F27" i="10" s="1"/>
  <c r="F23" i="10"/>
  <c r="E46" i="10"/>
  <c r="F67" i="10"/>
  <c r="F82" i="10"/>
  <c r="E82" i="10"/>
  <c r="F97" i="10"/>
  <c r="D109" i="10"/>
  <c r="F109" i="10" s="1"/>
  <c r="E120" i="10"/>
  <c r="E202" i="10"/>
  <c r="F202" i="10"/>
  <c r="C228" i="10"/>
  <c r="E217" i="10"/>
  <c r="D236" i="10"/>
  <c r="D16" i="10"/>
  <c r="E23" i="10"/>
  <c r="D33" i="10"/>
  <c r="E65" i="10"/>
  <c r="E92" i="10"/>
  <c r="F102" i="10"/>
  <c r="E102" i="10"/>
  <c r="E175" i="10"/>
  <c r="F188" i="10"/>
  <c r="F199" i="10"/>
  <c r="E199" i="10"/>
  <c r="F217" i="10"/>
  <c r="D228" i="10"/>
  <c r="E227" i="10"/>
  <c r="E241" i="10"/>
  <c r="F263" i="10"/>
  <c r="E263" i="10"/>
  <c r="C33" i="10"/>
  <c r="F134" i="10"/>
  <c r="F148" i="10"/>
  <c r="E148" i="10"/>
  <c r="E21" i="10"/>
  <c r="E39" i="10"/>
  <c r="E55" i="10"/>
  <c r="F61" i="10"/>
  <c r="F95" i="10"/>
  <c r="E98" i="10"/>
  <c r="E104" i="10"/>
  <c r="E107" i="10"/>
  <c r="E119" i="10"/>
  <c r="D204" i="10"/>
  <c r="E159" i="10"/>
  <c r="F164" i="10"/>
  <c r="E164" i="10"/>
  <c r="E173" i="10"/>
  <c r="E184" i="10"/>
  <c r="E189" i="10"/>
  <c r="E225" i="10"/>
  <c r="E252" i="10"/>
  <c r="E24" i="10"/>
  <c r="E29" i="10"/>
  <c r="F39" i="10"/>
  <c r="E61" i="10"/>
  <c r="E75" i="10"/>
  <c r="E124" i="10"/>
  <c r="E140" i="10"/>
  <c r="E143" i="10"/>
  <c r="E149" i="10"/>
  <c r="F157" i="10"/>
  <c r="E176" i="10"/>
  <c r="F181" i="10"/>
  <c r="E192" i="10"/>
  <c r="F235" i="10"/>
  <c r="E17" i="10"/>
  <c r="C42" i="10"/>
  <c r="F93" i="10"/>
  <c r="E122" i="10"/>
  <c r="F140" i="10"/>
  <c r="F146" i="10"/>
  <c r="E190" i="10"/>
  <c r="E226" i="10"/>
  <c r="C236" i="10"/>
  <c r="E236" i="10" l="1"/>
  <c r="E243" i="10"/>
  <c r="E76" i="10"/>
  <c r="F33" i="10"/>
  <c r="F136" i="10"/>
  <c r="E48" i="10"/>
  <c r="F243" i="10"/>
  <c r="E91" i="10"/>
  <c r="E136" i="10"/>
  <c r="E264" i="10"/>
  <c r="F76" i="10"/>
  <c r="E127" i="10"/>
  <c r="E56" i="10"/>
  <c r="F204" i="10"/>
  <c r="F91" i="10"/>
  <c r="D265" i="10"/>
  <c r="F265" i="10" s="1"/>
  <c r="E33" i="10"/>
  <c r="D51" i="10"/>
  <c r="F16" i="10"/>
  <c r="E16" i="10"/>
  <c r="C51" i="10"/>
  <c r="E213" i="10"/>
  <c r="C229" i="10"/>
  <c r="F127" i="10"/>
  <c r="F213" i="10"/>
  <c r="E42" i="10"/>
  <c r="F42" i="10"/>
  <c r="C266" i="10"/>
  <c r="F236" i="10"/>
  <c r="E27" i="10"/>
  <c r="E80" i="10"/>
  <c r="E204" i="10"/>
  <c r="F228" i="10"/>
  <c r="D229" i="10"/>
  <c r="E228" i="10"/>
  <c r="E109" i="10"/>
  <c r="E265" i="10" l="1"/>
  <c r="D266" i="10"/>
  <c r="F266" i="10" s="1"/>
  <c r="E229" i="10"/>
  <c r="F229" i="10"/>
  <c r="E51" i="10"/>
  <c r="C57" i="10"/>
  <c r="F51" i="10"/>
  <c r="D57" i="10"/>
  <c r="D246" i="10"/>
  <c r="C246" i="10"/>
  <c r="E266" i="10"/>
  <c r="E246" i="10" l="1"/>
  <c r="F246" i="10"/>
  <c r="C247" i="10"/>
  <c r="E57" i="10"/>
  <c r="D247" i="10"/>
  <c r="F57" i="10"/>
  <c r="D269" i="10" l="1"/>
  <c r="F247" i="10"/>
  <c r="C269" i="10"/>
  <c r="E247" i="10"/>
  <c r="E269" i="10" l="1"/>
  <c r="F269" i="10"/>
  <c r="C6" i="10"/>
  <c r="H62" i="4"/>
  <c r="J25" i="4"/>
  <c r="H28" i="4"/>
  <c r="J26" i="4"/>
  <c r="G31" i="1" l="1"/>
  <c r="G27" i="1"/>
  <c r="G26" i="1"/>
  <c r="D39" i="1"/>
  <c r="F23" i="1"/>
  <c r="Q52" i="7" l="1"/>
  <c r="P52" i="7"/>
  <c r="O52" i="7"/>
  <c r="N52" i="7"/>
  <c r="M52" i="7"/>
  <c r="L52" i="7"/>
  <c r="K52" i="7"/>
  <c r="J52" i="7"/>
  <c r="I52" i="7"/>
  <c r="H52" i="7"/>
  <c r="G52" i="7"/>
  <c r="F52" i="7"/>
  <c r="D52" i="7"/>
  <c r="Q34" i="7"/>
  <c r="P34" i="7"/>
  <c r="O34" i="7"/>
  <c r="N34" i="7"/>
  <c r="M34" i="7"/>
  <c r="L34" i="7"/>
  <c r="K34" i="7"/>
  <c r="J34" i="7"/>
  <c r="I34" i="7"/>
  <c r="G34" i="7"/>
  <c r="F34" i="7"/>
  <c r="D34" i="7"/>
  <c r="F31" i="7"/>
  <c r="D21" i="7"/>
  <c r="Q17" i="7"/>
  <c r="P17" i="7"/>
  <c r="O17" i="7"/>
  <c r="N17" i="7"/>
  <c r="M17" i="7"/>
  <c r="L17" i="7"/>
  <c r="K17" i="7"/>
  <c r="J17" i="7"/>
  <c r="I17" i="7"/>
  <c r="H17" i="7"/>
  <c r="G17" i="7"/>
  <c r="F17" i="7"/>
  <c r="D17" i="7"/>
  <c r="H71" i="6"/>
  <c r="H62" i="6"/>
  <c r="G60" i="6"/>
  <c r="H60" i="6" s="1"/>
  <c r="F60" i="6"/>
  <c r="H59" i="6"/>
  <c r="H58" i="6"/>
  <c r="H57" i="6"/>
  <c r="H54" i="6"/>
  <c r="G52" i="6"/>
  <c r="F52" i="6"/>
  <c r="H51" i="6"/>
  <c r="H50" i="6"/>
  <c r="H49" i="6"/>
  <c r="H48" i="6"/>
  <c r="G45" i="6"/>
  <c r="F45" i="6"/>
  <c r="H44" i="6"/>
  <c r="H43" i="6"/>
  <c r="H42" i="6"/>
  <c r="H38" i="6"/>
  <c r="G36" i="6"/>
  <c r="G39" i="6" s="1"/>
  <c r="F36" i="6"/>
  <c r="F39" i="6" s="1"/>
  <c r="H35" i="6"/>
  <c r="H34" i="6"/>
  <c r="H33" i="6"/>
  <c r="H32" i="6"/>
  <c r="H31" i="6"/>
  <c r="H36" i="6" s="1"/>
  <c r="H29" i="6"/>
  <c r="H21" i="6"/>
  <c r="G17" i="6"/>
  <c r="F17" i="6"/>
  <c r="H16" i="6"/>
  <c r="G14" i="6"/>
  <c r="F14" i="6"/>
  <c r="H14" i="6" s="1"/>
  <c r="H13" i="6"/>
  <c r="H12" i="6"/>
  <c r="H11" i="6"/>
  <c r="G9" i="6"/>
  <c r="F9" i="6"/>
  <c r="H8" i="6"/>
  <c r="I83" i="4"/>
  <c r="H83" i="4"/>
  <c r="J82" i="4"/>
  <c r="J81" i="4"/>
  <c r="J80" i="4"/>
  <c r="I72" i="4"/>
  <c r="H72" i="4"/>
  <c r="J71" i="4"/>
  <c r="J70" i="4"/>
  <c r="J69" i="4"/>
  <c r="J68" i="4"/>
  <c r="J67" i="4"/>
  <c r="J66" i="4"/>
  <c r="J65" i="4"/>
  <c r="I62" i="4"/>
  <c r="J61" i="4"/>
  <c r="J51" i="4"/>
  <c r="I49" i="4"/>
  <c r="I52" i="4" s="1"/>
  <c r="H49" i="4"/>
  <c r="H52" i="4" s="1"/>
  <c r="J48" i="4"/>
  <c r="J47" i="4"/>
  <c r="J46" i="4"/>
  <c r="J45" i="4"/>
  <c r="J44" i="4"/>
  <c r="J43" i="4"/>
  <c r="J42" i="4"/>
  <c r="J41" i="4"/>
  <c r="J40" i="4"/>
  <c r="J39" i="4"/>
  <c r="J38" i="4"/>
  <c r="I35" i="4"/>
  <c r="H35" i="4"/>
  <c r="J34" i="4"/>
  <c r="J33" i="4"/>
  <c r="I28" i="4"/>
  <c r="J27" i="4"/>
  <c r="J24" i="4"/>
  <c r="J23" i="4"/>
  <c r="J22" i="4"/>
  <c r="J21" i="4"/>
  <c r="J20" i="4"/>
  <c r="J19" i="4"/>
  <c r="J18" i="4"/>
  <c r="I15" i="4"/>
  <c r="H15" i="4"/>
  <c r="J14" i="4"/>
  <c r="I11" i="4"/>
  <c r="H11" i="4"/>
  <c r="J10" i="4"/>
  <c r="J11" i="4" s="1"/>
  <c r="F69" i="1"/>
  <c r="F64" i="1"/>
  <c r="D57" i="1"/>
  <c r="D53" i="1"/>
  <c r="D49" i="1"/>
  <c r="E32" i="1"/>
  <c r="D32" i="1"/>
  <c r="F31" i="1"/>
  <c r="F30" i="1"/>
  <c r="E28" i="1"/>
  <c r="D28" i="1"/>
  <c r="G28" i="1" s="1"/>
  <c r="F27" i="1"/>
  <c r="F26" i="1"/>
  <c r="E24" i="1"/>
  <c r="D24" i="1"/>
  <c r="G23" i="1"/>
  <c r="G22" i="1"/>
  <c r="F22" i="1"/>
  <c r="F24" i="1" s="1"/>
  <c r="G20" i="1"/>
  <c r="G16" i="1"/>
  <c r="F16" i="1"/>
  <c r="E14" i="1"/>
  <c r="E17" i="1" s="1"/>
  <c r="D14" i="1"/>
  <c r="D17" i="1" s="1"/>
  <c r="G17" i="1" s="1"/>
  <c r="G13" i="1"/>
  <c r="F13" i="1"/>
  <c r="G12" i="1"/>
  <c r="F12" i="1"/>
  <c r="G22" i="6" l="1"/>
  <c r="G23" i="6" s="1"/>
  <c r="H9" i="6"/>
  <c r="H17" i="6"/>
  <c r="H45" i="6"/>
  <c r="H52" i="6"/>
  <c r="F64" i="6"/>
  <c r="G64" i="6"/>
  <c r="J83" i="4"/>
  <c r="F32" i="1"/>
  <c r="H74" i="4"/>
  <c r="H76" i="4" s="1"/>
  <c r="H85" i="4" s="1"/>
  <c r="J72" i="4"/>
  <c r="J28" i="4"/>
  <c r="H30" i="4"/>
  <c r="H54" i="4" s="1"/>
  <c r="J35" i="4"/>
  <c r="I30" i="4"/>
  <c r="I54" i="4" s="1"/>
  <c r="J49" i="4"/>
  <c r="J52" i="4" s="1"/>
  <c r="I74" i="4"/>
  <c r="I76" i="4" s="1"/>
  <c r="I85" i="4" s="1"/>
  <c r="F71" i="1"/>
  <c r="G32" i="1"/>
  <c r="F28" i="1"/>
  <c r="G24" i="1"/>
  <c r="F14" i="1"/>
  <c r="F17" i="1"/>
  <c r="F22" i="6"/>
  <c r="H39" i="6"/>
  <c r="J15" i="4"/>
  <c r="J62" i="4"/>
  <c r="H64" i="6" l="1"/>
  <c r="H75" i="6" s="1"/>
  <c r="H77" i="6" s="1"/>
  <c r="J74" i="4"/>
  <c r="J76" i="4" s="1"/>
  <c r="J85" i="4" s="1"/>
  <c r="J30" i="4"/>
  <c r="J54" i="4" s="1"/>
  <c r="I86" i="4"/>
  <c r="F23" i="6"/>
  <c r="H23" i="6" s="1"/>
  <c r="H22" i="6"/>
  <c r="H86" i="4"/>
  <c r="J86" i="4" l="1"/>
</calcChain>
</file>

<file path=xl/sharedStrings.xml><?xml version="1.0" encoding="utf-8"?>
<sst xmlns="http://schemas.openxmlformats.org/spreadsheetml/2006/main" count="919" uniqueCount="717">
  <si>
    <t>QCYC</t>
  </si>
  <si>
    <t>Description</t>
  </si>
  <si>
    <t>YTD Activity</t>
  </si>
  <si>
    <t>FY Budget</t>
  </si>
  <si>
    <t>Over/Under Budget</t>
  </si>
  <si>
    <t>% Used</t>
  </si>
  <si>
    <t>Comments</t>
  </si>
  <si>
    <t>YEAR-TO-DATE ACTIVITY - Ordinary Income/Expenses</t>
  </si>
  <si>
    <t>•  Income</t>
  </si>
  <si>
    <t>•  Expenses</t>
  </si>
  <si>
    <t>•  Net Operating Income</t>
  </si>
  <si>
    <t>•  Total Other Expenses (Capital &amp; Small Funds)</t>
  </si>
  <si>
    <t>•  NET INCOME/EXPENSE YTD</t>
  </si>
  <si>
    <t>•  Schedule 1 - Committees</t>
  </si>
  <si>
    <t>•  Schedule 2 - Bainbridge - Income</t>
  </si>
  <si>
    <t>•  Schedule 2 - Bainbridge - Expenses</t>
  </si>
  <si>
    <t>•  Schedule 2 - Bainbridge - Net</t>
  </si>
  <si>
    <t>•  Schedule 3 - Spirits/Bar - Income</t>
  </si>
  <si>
    <t>•  Schedule 3 - Spirits/Bar - Expenses</t>
  </si>
  <si>
    <t>•  Schedule 3 - Spirits/Bar - Net</t>
  </si>
  <si>
    <t>•  Schedule 4 - Stores - Income</t>
  </si>
  <si>
    <t>•  Schedule 4 - Stores - Expenses</t>
  </si>
  <si>
    <t>•  Schedule 4 - Stores - Net</t>
  </si>
  <si>
    <t>CURRENT MONTH ACTIVITY</t>
  </si>
  <si>
    <t>•  NET INCOME/EXPENSE CURRENT MONTH</t>
  </si>
  <si>
    <t xml:space="preserve">BANKING &amp; INVESTMENTS </t>
  </si>
  <si>
    <t>•  Treasury Bills</t>
  </si>
  <si>
    <t>•  Total</t>
  </si>
  <si>
    <t>Mainstation</t>
  </si>
  <si>
    <t>•  Checking Account</t>
  </si>
  <si>
    <t>Spirits/Bar</t>
  </si>
  <si>
    <t>Stores</t>
  </si>
  <si>
    <t xml:space="preserve">•  Total </t>
  </si>
  <si>
    <t>Spirits/Stores</t>
  </si>
  <si>
    <t>•  TOTAL ALL DOLLARS</t>
  </si>
  <si>
    <t>General</t>
  </si>
  <si>
    <t>T-Bills</t>
  </si>
  <si>
    <t>Overall Financials</t>
  </si>
  <si>
    <t>Income</t>
  </si>
  <si>
    <t>Expenditures</t>
  </si>
  <si>
    <t>Committees</t>
  </si>
  <si>
    <t>Bainbridge</t>
  </si>
  <si>
    <t>Membership</t>
  </si>
  <si>
    <t>Financials FY23-24 - INCOME/EXPENSES STATEMENT</t>
  </si>
  <si>
    <t>FY 23-24 YTD</t>
  </si>
  <si>
    <t>Budget</t>
  </si>
  <si>
    <t>$ Over Under Budget</t>
  </si>
  <si>
    <t>% of Line Item Used</t>
  </si>
  <si>
    <t xml:space="preserve">   4000R Dues Income</t>
  </si>
  <si>
    <t xml:space="preserve">      4001R Active Social</t>
  </si>
  <si>
    <t xml:space="preserve">      4002R Intermediate</t>
  </si>
  <si>
    <t xml:space="preserve">      4003R Dues Life</t>
  </si>
  <si>
    <t xml:space="preserve">   Total 4000R Dues Income</t>
  </si>
  <si>
    <t xml:space="preserve">   4005R Mailings Inc-Annual,BP (Treas)</t>
  </si>
  <si>
    <t xml:space="preserve">   4010R NewMem Init12+9+9</t>
  </si>
  <si>
    <t xml:space="preserve">   4024V Deer Harbor Income (Wood)</t>
  </si>
  <si>
    <t xml:space="preserve">   4025V SaltSpringGangesIncome (Wood)</t>
  </si>
  <si>
    <t xml:space="preserve">   4026V Thetis Island Income (Wood)</t>
  </si>
  <si>
    <t xml:space="preserve">   4029V Mill Bay Group Income</t>
  </si>
  <si>
    <t xml:space="preserve">      4022V Port Browning</t>
  </si>
  <si>
    <t xml:space="preserve">      4023V Dock Street</t>
  </si>
  <si>
    <t xml:space="preserve">      4027V Port of Sidney</t>
  </si>
  <si>
    <t xml:space="preserve">      4028V Mill Bay Marina</t>
  </si>
  <si>
    <t xml:space="preserve">   Total 4029V Mill Bay Group Income</t>
  </si>
  <si>
    <t xml:space="preserve">   402xV Moorage Income (Moorage ch)</t>
  </si>
  <si>
    <t xml:space="preserve">      4020V Moorage-Permanent (Moorage Ch)</t>
  </si>
  <si>
    <t xml:space="preserve">      4021V Sea U Elec Charge</t>
  </si>
  <si>
    <t xml:space="preserve">      4031V Reciprocal Moor Inc</t>
  </si>
  <si>
    <t xml:space="preserve">      4032V Work Slip</t>
  </si>
  <si>
    <t xml:space="preserve">   Total 402xV Moorage Income (Moorage ch)</t>
  </si>
  <si>
    <t xml:space="preserve">   4030V Lockers Income</t>
  </si>
  <si>
    <t xml:space="preserve">   4033V Telegraph Marina Income (Wood)</t>
  </si>
  <si>
    <t xml:space="preserve">   405xB Interest Inc (Treas)</t>
  </si>
  <si>
    <t xml:space="preserve">   4800 Other Income</t>
  </si>
  <si>
    <t xml:space="preserve">   4805 Gain (Loss) on Fixed Assets</t>
  </si>
  <si>
    <t xml:space="preserve">   480xV Oth Inc-Rentals,Laundry</t>
  </si>
  <si>
    <t xml:space="preserve">      4802 Club House Rentals</t>
  </si>
  <si>
    <t xml:space="preserve">      4804 Coin Laundry</t>
  </si>
  <si>
    <t xml:space="preserve">   Total 480xV Oth Inc-Rentals,Laundry</t>
  </si>
  <si>
    <t xml:space="preserve">   4814C Tarettes</t>
  </si>
  <si>
    <t xml:space="preserve">   4910C Other Contrib/Gifts</t>
  </si>
  <si>
    <t xml:space="preserve">      4911C Contrib/Gifts Unrestrict</t>
  </si>
  <si>
    <t xml:space="preserve">      4912C Contrib/Gifts Restricted</t>
  </si>
  <si>
    <t xml:space="preserve">      4915C Memorial Fund</t>
  </si>
  <si>
    <t xml:space="preserve">   Total 4910C Other Contrib/Gifts</t>
  </si>
  <si>
    <t xml:space="preserve">   4920V Late Pay Fees Membership</t>
  </si>
  <si>
    <t xml:space="preserve">   4930 Returned Check Charges</t>
  </si>
  <si>
    <t>Total Income</t>
  </si>
  <si>
    <t>Cost of Goods Sold</t>
  </si>
  <si>
    <t xml:space="preserve">   5000 Cost of Goods Sold</t>
  </si>
  <si>
    <t>Total Cost of Goods Sold</t>
  </si>
  <si>
    <t>Gross Profit</t>
  </si>
  <si>
    <t>Expenses</t>
  </si>
  <si>
    <t xml:space="preserve">   4000 Reconciliation Discrepancies</t>
  </si>
  <si>
    <t xml:space="preserve">   5000T Advances</t>
  </si>
  <si>
    <t xml:space="preserve">   5000V Linen &amp; Towel Service (Treas)</t>
  </si>
  <si>
    <t xml:space="preserve">   5001V Salaries</t>
  </si>
  <si>
    <t xml:space="preserve">   5002V Employee Benefits (Treas)</t>
  </si>
  <si>
    <t xml:space="preserve">   5004V Billing Services</t>
  </si>
  <si>
    <t xml:space="preserve">   5019V Electricity-House (VC)</t>
  </si>
  <si>
    <t xml:space="preserve">   501xV Utilities-Gas,Garbage (VC)</t>
  </si>
  <si>
    <t xml:space="preserve">      5011V Natural Gas</t>
  </si>
  <si>
    <t xml:space="preserve">      5012V Garbage</t>
  </si>
  <si>
    <t xml:space="preserve">      5013V Recycling</t>
  </si>
  <si>
    <t xml:space="preserve">      5015V Water - Dock</t>
  </si>
  <si>
    <t xml:space="preserve">      5016V Water - House</t>
  </si>
  <si>
    <t xml:space="preserve">      5017V Cable TV</t>
  </si>
  <si>
    <t xml:space="preserve">      5035V Other Utilities</t>
  </si>
  <si>
    <t xml:space="preserve">   Total 501xV Utilities-Gas,Garbage (VC)</t>
  </si>
  <si>
    <t xml:space="preserve">   5020V Dock Electrical Net</t>
  </si>
  <si>
    <t xml:space="preserve">      5021V Elec Dock Income</t>
  </si>
  <si>
    <t xml:space="preserve">      5022V Dock Elec Util Exp</t>
  </si>
  <si>
    <t xml:space="preserve">   Total 5020V Dock Electrical Net</t>
  </si>
  <si>
    <t xml:space="preserve">   5030V Telepho, Internet,WiFi (Treas)</t>
  </si>
  <si>
    <t xml:space="preserve">   5040V Postage (Treas)</t>
  </si>
  <si>
    <t xml:space="preserve">   5050V Office Supply/Computer (Treas)</t>
  </si>
  <si>
    <t xml:space="preserve">   5060V Insurance</t>
  </si>
  <si>
    <t xml:space="preserve">   5070V Taxes and Licenses (Treas)</t>
  </si>
  <si>
    <t xml:space="preserve">      5071 Property Tax</t>
  </si>
  <si>
    <t xml:space="preserve">      5072 Business Tax</t>
  </si>
  <si>
    <t xml:space="preserve">      5073 Income Tax</t>
  </si>
  <si>
    <t xml:space="preserve">      5085 Licenses</t>
  </si>
  <si>
    <t xml:space="preserve">      6560 Payroll Taxes</t>
  </si>
  <si>
    <t xml:space="preserve">   Total 5070V Taxes and Licenses (Treas)</t>
  </si>
  <si>
    <t xml:space="preserve">   5100R Officer Uniform Allow(Rear)</t>
  </si>
  <si>
    <t xml:space="preserve">   5105C Commodore G14 Expenses</t>
  </si>
  <si>
    <t xml:space="preserve">   5105R Rear Commodore G14 Expenses</t>
  </si>
  <si>
    <t xml:space="preserve">   5105V Vice Commodore G14 Expenses</t>
  </si>
  <si>
    <t xml:space="preserve">   5106C Officers G14 Dues</t>
  </si>
  <si>
    <t xml:space="preserve">   5107 Bridge To Member Comp's</t>
  </si>
  <si>
    <t xml:space="preserve">   5110V Legal and Accounting (VC/Treas)</t>
  </si>
  <si>
    <t xml:space="preserve">   5130V RoanokeStEndRental (Commordore)</t>
  </si>
  <si>
    <t xml:space="preserve">   5135B Depreciation Expense</t>
  </si>
  <si>
    <t xml:space="preserve">   5140V Deer Harbor Lease (Wood)</t>
  </si>
  <si>
    <t xml:space="preserve">   5142V Ganges/SaltSpring Lease (Wood)</t>
  </si>
  <si>
    <t xml:space="preserve">   5145V Telegraph Marina Expense</t>
  </si>
  <si>
    <t xml:space="preserve">   5146V Mill Bay Marine Group pmts.</t>
  </si>
  <si>
    <t xml:space="preserve">      5147 Sidney Expense</t>
  </si>
  <si>
    <t xml:space="preserve">      5148 Dock Street Expense</t>
  </si>
  <si>
    <t xml:space="preserve">      5149 Port Browning Expense</t>
  </si>
  <si>
    <t xml:space="preserve">      5150 Mill Bay Expense</t>
  </si>
  <si>
    <t xml:space="preserve">   Total 5146V Mill Bay Marine Group pmts.</t>
  </si>
  <si>
    <t xml:space="preserve">   5171V Dock Maintenance VESC</t>
  </si>
  <si>
    <t xml:space="preserve">   5181V Dock Maintenance (Dock Ch)</t>
  </si>
  <si>
    <t xml:space="preserve">   5182R Grounds Maintenance(Grounds Ch)</t>
  </si>
  <si>
    <t xml:space="preserve">   5183V House Maintenance (House Ch)</t>
  </si>
  <si>
    <t xml:space="preserve">   5184V Locker Maintenance (Locker Ch)</t>
  </si>
  <si>
    <t xml:space="preserve">   5185V Custodial Service (Francisco)</t>
  </si>
  <si>
    <t xml:space="preserve">   5186V Pest Control(Commodore)</t>
  </si>
  <si>
    <t xml:space="preserve">   5188V Reserve study</t>
  </si>
  <si>
    <t xml:space="preserve">   5190R Security (Security Ch)</t>
  </si>
  <si>
    <t xml:space="preserve">   5210R 520 ImpactExpense (Stone)</t>
  </si>
  <si>
    <t xml:space="preserve">   5220 Other Expenses</t>
  </si>
  <si>
    <t xml:space="preserve">   5300V Water Damage Task Force</t>
  </si>
  <si>
    <t xml:space="preserve">   5999V Gen Bank &amp; CrCrd (Treas)</t>
  </si>
  <si>
    <t xml:space="preserve">      5991V Bank Fees</t>
  </si>
  <si>
    <t xml:space="preserve">      5993V CrCard Exp</t>
  </si>
  <si>
    <t xml:space="preserve">      5994V CrCard Rev</t>
  </si>
  <si>
    <t xml:space="preserve">      5995V Financial Services</t>
  </si>
  <si>
    <t xml:space="preserve">   Total 5999V Gen Bank &amp; CrCrd (Treas)</t>
  </si>
  <si>
    <t xml:space="preserve">   69800 Uncategorized Expenses</t>
  </si>
  <si>
    <t xml:space="preserve">   8258 Bank Service Charges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</si>
  <si>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</si>
  <si>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</si>
  <si>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</si>
  <si>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</si>
  <si>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Sch1C Committee Expenses (List)</t>
  </si>
  <si>
    <t xml:space="preserve">      8005C Active Intermediates</t>
  </si>
  <si>
    <t xml:space="preserve">      801*C Architectural Comm (AAC Chair)</t>
  </si>
  <si>
    <t xml:space="preserve">      8010C Annual Cost (Annual Ch)</t>
  </si>
  <si>
    <t xml:space="preserve">      8018C Band</t>
  </si>
  <si>
    <t xml:space="preserve">      8020C Bar Operation-Exp</t>
  </si>
  <si>
    <t xml:space="preserve">      8021C Bar Operation Rev</t>
  </si>
  <si>
    <t xml:space="preserve">      8025C Bilge Pump Cost (BP Editor)</t>
  </si>
  <si>
    <t xml:space="preserve">      8030C Publication Income</t>
  </si>
  <si>
    <t xml:space="preserve">      8031C Big Brother Cruise</t>
  </si>
  <si>
    <t xml:space="preserve">      8038C Breakfastw/theBridge(Commodore)</t>
  </si>
  <si>
    <t xml:space="preserve">      8039C Centennial Expenses</t>
  </si>
  <si>
    <t xml:space="preserve">      804*C Change of Watch (P/C's)</t>
  </si>
  <si>
    <t xml:space="preserve">      8040C By-Laws Comm (ByLaw Ch)</t>
  </si>
  <si>
    <t xml:space="preserve">      8045C Children'sXmas Party (Party Ch)</t>
  </si>
  <si>
    <t xml:space="preserve">      8046C Christmas Cards</t>
  </si>
  <si>
    <t xml:space="preserve">      8050C Children'sEasterParty</t>
  </si>
  <si>
    <t xml:space="preserve">      8051C Closing Day</t>
  </si>
  <si>
    <t xml:space="preserve">      8053C Coffee Fund (Treas)</t>
  </si>
  <si>
    <t xml:space="preserve">      8055C Commodore's Ball (Immediate PC)</t>
  </si>
  <si>
    <t xml:space="preserve">      8056C Commodore'sThankYou (Commodore)</t>
  </si>
  <si>
    <t xml:space="preserve">      8060C Commodore's Fund (Commodore)</t>
  </si>
  <si>
    <t xml:space="preserve">      8070C Christmas Decorations</t>
  </si>
  <si>
    <t xml:space="preserve">      8073C Education</t>
  </si>
  <si>
    <t xml:space="preserve">      8075C Eight Bells (Chaplain)</t>
  </si>
  <si>
    <t xml:space="preserve">      808*C Fishing Derby (Derby Chair)</t>
  </si>
  <si>
    <t xml:space="preserve">      8080C Entertainment Chair</t>
  </si>
  <si>
    <t xml:space="preserve">      8085C Fleet Captain</t>
  </si>
  <si>
    <t xml:space="preserve">      8086C Fleet Captain Daffodil Event</t>
  </si>
  <si>
    <t xml:space="preserve">      8090C July 4th Cruise (Event Chair)</t>
  </si>
  <si>
    <t xml:space="preserve">      8091C July 4th Parade Kids Costs</t>
  </si>
  <si>
    <t xml:space="preserve">      8095C Miscellaneous Club Events</t>
  </si>
  <si>
    <t xml:space="preserve">      8101C Historian</t>
  </si>
  <si>
    <t xml:space="preserve">      8105C YC of Amer Dues (Reciprocal Ch)</t>
  </si>
  <si>
    <t xml:space="preserve">      8108C RBAW Dues</t>
  </si>
  <si>
    <t xml:space="preserve">      8115V JuniorOfficer's Ball (VC/RC)</t>
  </si>
  <si>
    <t xml:space="preserve">      8120C Kid's Program</t>
  </si>
  <si>
    <t xml:space="preserve">      8125C LaborDayCruise (Event Ch)</t>
  </si>
  <si>
    <t xml:space="preserve">      8130C LightedBoatParade(Event Ch)</t>
  </si>
  <si>
    <t xml:space="preserve">      8132C Board of Trustees (Chair)</t>
  </si>
  <si>
    <t xml:space="preserve">      813xC Meeting Night Prog (Meeting Ch)</t>
  </si>
  <si>
    <t xml:space="preserve">      8140R Membership (Member Ch)</t>
  </si>
  <si>
    <t xml:space="preserve">      8141C MembershipBoatShow(Member Ch)</t>
  </si>
  <si>
    <t xml:space="preserve">      8145C MemorialDayCruise(Event Ch)</t>
  </si>
  <si>
    <t xml:space="preserve">      8146C New Technology (Computer Ch)</t>
  </si>
  <si>
    <t xml:space="preserve">      814zR New Member Orientation</t>
  </si>
  <si>
    <t xml:space="preserve">      8150C NewYear'sEve (Event Ch)</t>
  </si>
  <si>
    <t xml:space="preserve">      8151C Officers Cruise-in (Commodore)</t>
  </si>
  <si>
    <t xml:space="preserve">      8155C Old-Timers Night</t>
  </si>
  <si>
    <t xml:space="preserve">      8160C Opening Day (Open Day Ch)</t>
  </si>
  <si>
    <t xml:space="preserve">      8162C Plng &amp; Fin Comm (Comm Chair)</t>
  </si>
  <si>
    <t xml:space="preserve">      8165C Photography (Committee)</t>
  </si>
  <si>
    <t xml:space="preserve">      8185C Regatta - Power (Chair)</t>
  </si>
  <si>
    <t xml:space="preserve">      8190C Regatta - Sail (Chair)</t>
  </si>
  <si>
    <t xml:space="preserve">      8191R Safety (Safety Chair)</t>
  </si>
  <si>
    <t xml:space="preserve">      8200R ShipStoresRev(Ship Store Chair)</t>
  </si>
  <si>
    <t xml:space="preserve">      8201R ShipStoresExp(Ship Store Chair)</t>
  </si>
  <si>
    <t xml:space="preserve">      8205C Seafair Holiday Cruise</t>
  </si>
  <si>
    <t xml:space="preserve">      8206C Pride of QCYC</t>
  </si>
  <si>
    <t xml:space="preserve">      8208C Sweetheart Dinner (Event Chair)</t>
  </si>
  <si>
    <t xml:space="preserve">      8220C Visiting (Visiting Chair)</t>
  </si>
  <si>
    <t xml:space="preserve">      8232C Leadership Retreats</t>
  </si>
  <si>
    <t xml:space="preserve">      824*C Yacht Recip (Reciporal Chair)</t>
  </si>
  <si>
    <t xml:space="preserve">      8240C Web Site Cost (Website Chair)</t>
  </si>
  <si>
    <t xml:space="preserve">      8248C Donations to BoyerCC, etc</t>
  </si>
  <si>
    <t xml:space="preserve">   Total Sch1C Committee Expenses (List)</t>
  </si>
  <si>
    <t xml:space="preserve">   Sch2V Bainbridge Exp-Inc (Wood)</t>
  </si>
  <si>
    <t xml:space="preserve">      7000V Bainbridge Income (Wood)</t>
  </si>
  <si>
    <t xml:space="preserve">         7010V Moorage-Winter</t>
  </si>
  <si>
    <t xml:space="preserve">         7020V Elect-Winter Moor</t>
  </si>
  <si>
    <t xml:space="preserve">         7030V Moor-Overnight Stays</t>
  </si>
  <si>
    <t xml:space="preserve">         7050V Bainbridge Laundry</t>
  </si>
  <si>
    <t xml:space="preserve">      Total 7000V Bainbridge Income (Wood)</t>
  </si>
  <si>
    <t xml:space="preserve">      7100V Bainbridge Expenses (Wood)</t>
  </si>
  <si>
    <t xml:space="preserve">         7110V Property Tax</t>
  </si>
  <si>
    <t xml:space="preserve">         7120V DNR Lease</t>
  </si>
  <si>
    <t xml:space="preserve">         7130V Electricity</t>
  </si>
  <si>
    <t xml:space="preserve">         7141V Water &amp; Sewer</t>
  </si>
  <si>
    <t xml:space="preserve">         7142V Propanel Gas</t>
  </si>
  <si>
    <t xml:space="preserve">         7143V Garbage</t>
  </si>
  <si>
    <t xml:space="preserve">         7146V Cable TV &amp; Internet</t>
  </si>
  <si>
    <t xml:space="preserve">         7147V Pest Control</t>
  </si>
  <si>
    <t xml:space="preserve">         7150V Maintenance/Supplies</t>
  </si>
  <si>
    <t xml:space="preserve">         7190V Security- Telephone Line &amp; Misc</t>
  </si>
  <si>
    <t xml:space="preserve">      Total 7100V Bainbridge Expenses (Wood)</t>
  </si>
  <si>
    <t xml:space="preserve">   Total Sch2V Bainbridge Exp-Inc (Wood)</t>
  </si>
  <si>
    <t xml:space="preserve">   Sch4C Stores</t>
  </si>
  <si>
    <t xml:space="preserve">      9530C Stores Expenses</t>
  </si>
  <si>
    <t xml:space="preserve">   Total Sch4C Stores</t>
  </si>
  <si>
    <t>Total Expenses</t>
  </si>
  <si>
    <t>Net Operating Income</t>
  </si>
  <si>
    <t>Other Expenses</t>
  </si>
  <si>
    <t xml:space="preserve">   5225B* Loan Prin Svc Xfers (Board)</t>
  </si>
  <si>
    <t xml:space="preserve">   6010B* -Reserve Fund-Xfers (Board)</t>
  </si>
  <si>
    <t xml:space="preserve">   6015B* -520 Fund - Xfers Non-Capital</t>
  </si>
  <si>
    <t xml:space="preserve">   6020B* -House Cap Impr Fd-Xfers(Board)</t>
  </si>
  <si>
    <t xml:space="preserve">   6030B* -Dock Cap Impr Fd-Xfers (Board)</t>
  </si>
  <si>
    <t xml:space="preserve">   6035B* -Dock Elect Fund Xfer</t>
  </si>
  <si>
    <t xml:space="preserve">   6036B* Capital Funds Xfers (Board)</t>
  </si>
  <si>
    <t xml:space="preserve">   6040B* -Memorial Fund - Xfers (Non-Capital)</t>
  </si>
  <si>
    <t xml:space="preserve">   6045B* -Grounds Impr Fd-Xfers (Board)</t>
  </si>
  <si>
    <t xml:space="preserve">   6050B* -BainbridCap Imp Fd-Xfer(Board)</t>
  </si>
  <si>
    <t xml:space="preserve">   6055B* -Contribution/Gift-Xfers(Board)</t>
  </si>
  <si>
    <t xml:space="preserve">   6060B* -Funds Interest- Xfers(Board)</t>
  </si>
  <si>
    <t xml:space="preserve">      6066 T-Bill Int Xfer</t>
  </si>
  <si>
    <t xml:space="preserve">   Total 6060B* -Funds Interest- Xfers(Board)</t>
  </si>
  <si>
    <t>Total Other Expenses</t>
  </si>
  <si>
    <t>Net Other Income</t>
  </si>
  <si>
    <t>Net Income</t>
  </si>
  <si>
    <t>NOTE:</t>
  </si>
  <si>
    <t xml:space="preserve">Accounts with 10% or greater variance are highlighted for quick reference and review as deemed appropriate.  </t>
  </si>
  <si>
    <t xml:space="preserve">Balances are often date-driven.  While accounts are denoted at greater than 10% note the timing of the billing processes will affect account balances.  </t>
  </si>
  <si>
    <t>$ Change</t>
  </si>
  <si>
    <t>ASSETS</t>
  </si>
  <si>
    <t>Current Assets</t>
  </si>
  <si>
    <t>Checking/Savings</t>
  </si>
  <si>
    <t>1000 · Cash - General Funds</t>
  </si>
  <si>
    <t>1022T</t>
  </si>
  <si>
    <t>Total Checking/Savings</t>
  </si>
  <si>
    <t>Accounts Receivable</t>
  </si>
  <si>
    <t>1101 - Accounts Receivable - Trade</t>
  </si>
  <si>
    <t>Total Accounts Receivable</t>
  </si>
  <si>
    <t>Other Current Assets</t>
  </si>
  <si>
    <t>1102 · Accounts Receivable - Other</t>
  </si>
  <si>
    <t>1111 · Due from Jr Boating</t>
  </si>
  <si>
    <t>1112 - Due from Bar</t>
  </si>
  <si>
    <t>1120 · Inv Membership Items</t>
  </si>
  <si>
    <t>1210 · Bar Inventory</t>
  </si>
  <si>
    <t>1220 · Ship's Store Inventory</t>
  </si>
  <si>
    <t>1400 · Prepaid Expenses</t>
  </si>
  <si>
    <t>1499 · Undeposited Funds</t>
  </si>
  <si>
    <t>Total Other Current Assets</t>
  </si>
  <si>
    <t>Total Current Assets</t>
  </si>
  <si>
    <t>•  T-Bills</t>
  </si>
  <si>
    <t>Fixed Assets</t>
  </si>
  <si>
    <t>1022H</t>
  </si>
  <si>
    <t>Accumulated depreciation</t>
  </si>
  <si>
    <t>1022C</t>
  </si>
  <si>
    <t>Land, Property &amp; Equipment</t>
  </si>
  <si>
    <t>Total Fixed Assets</t>
  </si>
  <si>
    <t>Other Assets</t>
  </si>
  <si>
    <t>1024 - Dock Capital Imprvm. Fund</t>
  </si>
  <si>
    <t>1025 - Dock Elect Improv Fund</t>
  </si>
  <si>
    <t>1030 · Memorial Fund</t>
  </si>
  <si>
    <t>1031 · Eight Bells</t>
  </si>
  <si>
    <t>1034 · Contingency Reserve Funds</t>
  </si>
  <si>
    <t>1035 · 520 Fund</t>
  </si>
  <si>
    <t>1036 - Capital Assets Fund</t>
  </si>
  <si>
    <t>1045 · Bainbridge Capital Impr Fund</t>
  </si>
  <si>
    <t>1048 · Net Fund</t>
  </si>
  <si>
    <t>1049 · House Capital Improvement Fund</t>
  </si>
  <si>
    <t>1050 · Grounds Capital Impr Fund</t>
  </si>
  <si>
    <t>Sub-Total Other Assets</t>
  </si>
  <si>
    <t>1022 - Owed to Cash from RF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</si>
  <si>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</si>
  <si>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</si>
  <si>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</si>
  <si>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</si>
  <si>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</si>
  <si>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</si>
  <si>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2000 · Accounts Payable - Trade</t>
  </si>
  <si>
    <t>Total Accounts Payable</t>
  </si>
  <si>
    <t>Other Current Liabilities</t>
  </si>
  <si>
    <t>2100 · Payroll Liabilities</t>
  </si>
  <si>
    <t>2400 · Pending Member Dep(Benson)</t>
  </si>
  <si>
    <t>2401 · New Member Dues Credits</t>
  </si>
  <si>
    <t>Total</t>
  </si>
  <si>
    <t>2510 · Due to Jr Boating  (Ewton)</t>
  </si>
  <si>
    <t>2515 - Due to Store</t>
  </si>
  <si>
    <t>2520 - Due to Bar</t>
  </si>
  <si>
    <t>Total Other Current Liabilities</t>
  </si>
  <si>
    <t>Total Current Liabilities</t>
  </si>
  <si>
    <t>TOTAL LIABILITIES</t>
  </si>
  <si>
    <t>Equity</t>
  </si>
  <si>
    <t>3000 - Opening Balance Equity</t>
  </si>
  <si>
    <t>3900 · Retained Earnings</t>
  </si>
  <si>
    <t>6100* · Transfers recorded as expense</t>
  </si>
  <si>
    <t>TOTAL EQUITY</t>
  </si>
  <si>
    <t>TOTAL LIABILITIES &amp; EQUITY</t>
  </si>
  <si>
    <t>Financials FY23-24 - BANKING &amp; INVESTMENTS</t>
  </si>
  <si>
    <t>US TREASURY BILLS</t>
  </si>
  <si>
    <t>NATURE</t>
  </si>
  <si>
    <t>STATEMENT DATED</t>
  </si>
  <si>
    <t>ACCOUNT TYPE</t>
  </si>
  <si>
    <t>PURCHASE PRICE</t>
  </si>
  <si>
    <t>PAR AMOUNT</t>
  </si>
  <si>
    <t>TERM</t>
  </si>
  <si>
    <t>INTEREST RATE - APY</t>
  </si>
  <si>
    <t>INTEREST RETURN</t>
  </si>
  <si>
    <t>MONTHLY EQUIVALENT</t>
  </si>
  <si>
    <t>MATURITY DATE</t>
  </si>
  <si>
    <t>Acct #</t>
  </si>
  <si>
    <t>Investments</t>
  </si>
  <si>
    <t>IAABB</t>
  </si>
  <si>
    <t>520 Fund</t>
  </si>
  <si>
    <t>26W</t>
  </si>
  <si>
    <t>IAABD</t>
  </si>
  <si>
    <t>IAABF</t>
  </si>
  <si>
    <t>IAABG</t>
  </si>
  <si>
    <t>17W</t>
  </si>
  <si>
    <t>Open</t>
  </si>
  <si>
    <t>TOTAL</t>
  </si>
  <si>
    <t>UMPQUA BANK</t>
  </si>
  <si>
    <t>CURRENT VALUE</t>
  </si>
  <si>
    <t xml:space="preserve">INTEREST EARNED </t>
  </si>
  <si>
    <t xml:space="preserve">Last # of Acct </t>
  </si>
  <si>
    <t>MM/Govt Clearing Acct</t>
  </si>
  <si>
    <t>-</t>
  </si>
  <si>
    <t>HOMESTREET BANK</t>
  </si>
  <si>
    <t>MM*</t>
  </si>
  <si>
    <t>FIRST SECURITY BANK</t>
  </si>
  <si>
    <t>1022G</t>
  </si>
  <si>
    <t>FIRST SECURITY BANK - SWEEP - 520 FUNDS</t>
  </si>
  <si>
    <t>Sweep</t>
  </si>
  <si>
    <t>Sweep Checking</t>
  </si>
  <si>
    <t>7300 / 1012</t>
  </si>
  <si>
    <t>Sweep MM</t>
  </si>
  <si>
    <t>1660 / 1022J</t>
  </si>
  <si>
    <t>Identified as "Deposits" - rate not provided.  Recorded as interest</t>
  </si>
  <si>
    <t>NET INVESTMENTS TOTALS</t>
  </si>
  <si>
    <t>•  Money Market</t>
  </si>
  <si>
    <t>Banking</t>
  </si>
  <si>
    <t>•  Sweep Accounts</t>
  </si>
  <si>
    <t>•  Sub-Total</t>
  </si>
  <si>
    <t>•  Total Investments</t>
  </si>
  <si>
    <t>CHECKING ACCOUNTS</t>
  </si>
  <si>
    <t xml:space="preserve">Spirits </t>
  </si>
  <si>
    <t>Net Total Checking</t>
  </si>
  <si>
    <t>CAPITAL PROJECTS &amp; OTHERS</t>
  </si>
  <si>
    <t>FY23-24 Budget Start</t>
  </si>
  <si>
    <t>Spent</t>
  </si>
  <si>
    <t>Balance</t>
  </si>
  <si>
    <t>6020B / 1049</t>
  </si>
  <si>
    <t>•  House - Website</t>
  </si>
  <si>
    <t>Capital</t>
  </si>
  <si>
    <t>•  Sub-Total House</t>
  </si>
  <si>
    <t>6030B / 1024</t>
  </si>
  <si>
    <t>•  Seattle Docks - Caps, Stringers, Piling, Planking</t>
  </si>
  <si>
    <t xml:space="preserve">•  Seattle Docks - 520 Committee Betterments </t>
  </si>
  <si>
    <t>•  Seattle Docks - Work Slip 2 Replacement</t>
  </si>
  <si>
    <t>•  Sub-Total Seattle Docks</t>
  </si>
  <si>
    <t>6050B / 1045</t>
  </si>
  <si>
    <r>
      <t>•  Bainbridge - Pier -</t>
    </r>
    <r>
      <rPr>
        <sz val="6"/>
        <color rgb="FF6600FF"/>
        <rFont val="Arial"/>
        <family val="2"/>
      </rPr>
      <t xml:space="preserve"> </t>
    </r>
    <r>
      <rPr>
        <b/>
        <sz val="6"/>
        <color rgb="FF6600FF"/>
        <rFont val="Arial"/>
        <family val="2"/>
      </rPr>
      <t>To Be Paid by Contingency Funding</t>
    </r>
  </si>
  <si>
    <t>•  Sub-Total Bainbridge</t>
  </si>
  <si>
    <t>•  Total Non-Capital Funds</t>
  </si>
  <si>
    <t xml:space="preserve">•  Total Capital Funds </t>
  </si>
  <si>
    <t>•  Net Totals</t>
  </si>
  <si>
    <t>QUARTERLY FUNDS ENTRIES</t>
  </si>
  <si>
    <t>Quarter Entries Last Made</t>
  </si>
  <si>
    <t>Current Qtr Activity YTD</t>
  </si>
  <si>
    <t>Spent FYTD</t>
  </si>
  <si>
    <t>•  Capital Funds</t>
  </si>
  <si>
    <t>•  Capital Assets - FYE Carryover FY22-23</t>
  </si>
  <si>
    <t>•  Capital Assets - Contingency Match</t>
  </si>
  <si>
    <t>•  Capital Qtrly Allocations - 1Q</t>
  </si>
  <si>
    <t>•  Capital Qtrly Allocations - 2Q</t>
  </si>
  <si>
    <t>•  Capital Qtrly Allocations - 3Q</t>
  </si>
  <si>
    <t>•  Capital Qtrly Allocations - 4Q</t>
  </si>
  <si>
    <t>•  Capital Allocations FYTD</t>
  </si>
  <si>
    <t xml:space="preserve">•  Capital Spent End of Current Quarterly Reporting </t>
  </si>
  <si>
    <t>•  Net Total Capital Funds</t>
  </si>
  <si>
    <t>•  Contingency Funds</t>
  </si>
  <si>
    <t>•  Contingency FYE Carryover FY22-23</t>
  </si>
  <si>
    <t>•  Contingency Allocations FYTD</t>
  </si>
  <si>
    <t>•  Contingency Spend</t>
  </si>
  <si>
    <t>•  Net Total Contingency End of Current Reporting</t>
  </si>
  <si>
    <t>•  520 Funds</t>
  </si>
  <si>
    <t>1035C</t>
  </si>
  <si>
    <t>•  520 Fund - Carryover (Prior DOT Deposit)</t>
  </si>
  <si>
    <t>1035E</t>
  </si>
  <si>
    <t>•  520 Fund - DOT Bank Principal</t>
  </si>
  <si>
    <t>1035F</t>
  </si>
  <si>
    <t>•  520 Fund - DOT T-Bills (Principal)</t>
  </si>
  <si>
    <t>1035G</t>
  </si>
  <si>
    <t>•  520 Fund - DOT Interest FYTD</t>
  </si>
  <si>
    <t>•  Net Total 520 Funds</t>
  </si>
  <si>
    <t>•  Eight Bells</t>
  </si>
  <si>
    <t>•  Memorial</t>
  </si>
  <si>
    <t>1030C</t>
  </si>
  <si>
    <t>•  Memorial - Carryover/General</t>
  </si>
  <si>
    <t>1030E</t>
  </si>
  <si>
    <t>•  Memorial - Reiche</t>
  </si>
  <si>
    <t>1030F</t>
  </si>
  <si>
    <t>•  Memorial - Williams (Golfing)</t>
  </si>
  <si>
    <t>•  Net Fund</t>
  </si>
  <si>
    <t>•  NET ALL FUNDS ALLOCATIONS</t>
  </si>
  <si>
    <t>BANKING/CASH - INVESTMENT DOLLARS</t>
  </si>
  <si>
    <t>•  NET TOTAL</t>
  </si>
  <si>
    <t>FUNDS ALLOCATIONS &amp; BANKING NET</t>
  </si>
  <si>
    <t>•  Fund Allocations</t>
  </si>
  <si>
    <t>•  Owed to Cash from RF</t>
  </si>
  <si>
    <t>NOTES</t>
  </si>
  <si>
    <r>
      <rPr>
        <b/>
        <sz val="6"/>
        <rFont val="Arial"/>
        <family val="2"/>
      </rPr>
      <t>•  Quarterly Capital Fund allocations</t>
    </r>
    <r>
      <rPr>
        <sz val="6"/>
        <rFont val="Arial"/>
        <family val="2"/>
      </rPr>
      <t xml:space="preserve"> (1036) based on 23-24 budget - Balance remaining after Contingency and Capital Assets </t>
    </r>
  </si>
  <si>
    <t>Financials FY23-24 - MEMBERSHIP</t>
  </si>
  <si>
    <t>Report Month</t>
  </si>
  <si>
    <t>Report Date (as of)</t>
  </si>
  <si>
    <t>Yr End</t>
  </si>
  <si>
    <t>To Note</t>
  </si>
  <si>
    <t>MEMBER CLASSES</t>
  </si>
  <si>
    <t>•  Active</t>
  </si>
  <si>
    <t>•  Social (Active Social)</t>
  </si>
  <si>
    <t>•  Intermediate</t>
  </si>
  <si>
    <t>•  Life</t>
  </si>
  <si>
    <t>•  Senior Life</t>
  </si>
  <si>
    <t>•  Change M2M</t>
  </si>
  <si>
    <t>•  Pending</t>
  </si>
  <si>
    <t>Net</t>
  </si>
  <si>
    <t>•  Members Eligible for Life Class</t>
  </si>
  <si>
    <t>MONTH-TO-MONTH CHANGE PER CLASS</t>
  </si>
  <si>
    <t xml:space="preserve">Active </t>
  </si>
  <si>
    <t>Social (Active Social)</t>
  </si>
  <si>
    <t>Intermediate</t>
  </si>
  <si>
    <t>Life</t>
  </si>
  <si>
    <t>Senior Life</t>
  </si>
  <si>
    <t>NEW MEMBERS INITIATED - All Classes</t>
  </si>
  <si>
    <t>Plus Oct. New Members</t>
  </si>
  <si>
    <t>Plus Nov. New Members</t>
  </si>
  <si>
    <t>Plus Dec. New Members</t>
  </si>
  <si>
    <t>Plus Jan. New Members</t>
  </si>
  <si>
    <t>Plus Feb. New Members</t>
  </si>
  <si>
    <t>Plus Mar. New Members</t>
  </si>
  <si>
    <t>Plus Apr. New Members</t>
  </si>
  <si>
    <t>Plus May New Members</t>
  </si>
  <si>
    <t>Plus June New Members</t>
  </si>
  <si>
    <t>Plus July New Members</t>
  </si>
  <si>
    <t>Plus Aug. New Members</t>
  </si>
  <si>
    <t>Plus Sep. New Members</t>
  </si>
  <si>
    <t>Total New Members</t>
  </si>
  <si>
    <t>Financials FY23-24 - MEMBERSHIP - Lifetime Eligibility</t>
  </si>
  <si>
    <t>Initiated</t>
  </si>
  <si>
    <t>To Date</t>
  </si>
  <si>
    <t>Length of Membership</t>
  </si>
  <si>
    <t>1</t>
  </si>
  <si>
    <t>DeLaunay, Peter Frank &amp; Wendy</t>
  </si>
  <si>
    <t>145</t>
  </si>
  <si>
    <t>04/09/1997</t>
  </si>
  <si>
    <t>2</t>
  </si>
  <si>
    <t>Lindal, Douglas F &amp; Theresa Skok</t>
  </si>
  <si>
    <t>05/14/1997</t>
  </si>
  <si>
    <t>3</t>
  </si>
  <si>
    <t>McFadden, James W &amp; Lucy Zehr</t>
  </si>
  <si>
    <t>147</t>
  </si>
  <si>
    <t>4</t>
  </si>
  <si>
    <t>Hill, Jess J</t>
  </si>
  <si>
    <t>148</t>
  </si>
  <si>
    <t>06/11/1997</t>
  </si>
  <si>
    <t>5</t>
  </si>
  <si>
    <t>Rutledge, Tim C &amp; Nadeane</t>
  </si>
  <si>
    <t>149</t>
  </si>
  <si>
    <t>6</t>
  </si>
  <si>
    <t>Cooper, Charles H &amp; Dorothy</t>
  </si>
  <si>
    <t>150</t>
  </si>
  <si>
    <t>7</t>
  </si>
  <si>
    <t>Brooks, James G &amp; Lois</t>
  </si>
  <si>
    <t>151</t>
  </si>
  <si>
    <t>06/25/1997</t>
  </si>
  <si>
    <t>8</t>
  </si>
  <si>
    <t>Wilcox, Fred &amp; Sue</t>
  </si>
  <si>
    <t>9</t>
  </si>
  <si>
    <t>152</t>
  </si>
  <si>
    <t>10/08/1997</t>
  </si>
  <si>
    <t>10</t>
  </si>
  <si>
    <t>McGrew, Raymond</t>
  </si>
  <si>
    <t>153</t>
  </si>
  <si>
    <t>11</t>
  </si>
  <si>
    <t>Renshaw, Robert C</t>
  </si>
  <si>
    <t>154</t>
  </si>
  <si>
    <t>11/12/1997</t>
  </si>
  <si>
    <t>12</t>
  </si>
  <si>
    <t>Yates, Robert &amp; Crystal</t>
  </si>
  <si>
    <t>156</t>
  </si>
  <si>
    <t>12/10/1997</t>
  </si>
  <si>
    <t>13</t>
  </si>
  <si>
    <t>Hedges Jr, Edward S</t>
  </si>
  <si>
    <t>157</t>
  </si>
  <si>
    <t>01/14/1998</t>
  </si>
  <si>
    <t>14</t>
  </si>
  <si>
    <t>Barney, Kevin S &amp; Wendy</t>
  </si>
  <si>
    <t>158</t>
  </si>
  <si>
    <t>03/11/1998</t>
  </si>
  <si>
    <t>15</t>
  </si>
  <si>
    <t>Gonsorowski, Don E &amp; Nancy</t>
  </si>
  <si>
    <t>159</t>
  </si>
  <si>
    <t>05/13/1998</t>
  </si>
  <si>
    <t>16</t>
  </si>
  <si>
    <t>Johnson, Thomas F &amp; Angie</t>
  </si>
  <si>
    <t>160</t>
  </si>
  <si>
    <t>06/24/1998</t>
  </si>
  <si>
    <t>Stevenson, Ron</t>
  </si>
  <si>
    <t>161</t>
  </si>
  <si>
    <t>10/14/1998</t>
  </si>
  <si>
    <t>Padgett, David L</t>
  </si>
  <si>
    <t>162</t>
  </si>
  <si>
    <t>Halverson, Gary L &amp; Elaine</t>
  </si>
  <si>
    <t>163</t>
  </si>
  <si>
    <t>Lindal, Robert W &amp; Sue</t>
  </si>
  <si>
    <t>164</t>
  </si>
  <si>
    <t>Walsh, Mark &amp; Yvonne</t>
  </si>
  <si>
    <t>165</t>
  </si>
  <si>
    <t>Langmeyer, John &amp; Marta</t>
  </si>
  <si>
    <t>166</t>
  </si>
  <si>
    <t>11/11/1998</t>
  </si>
  <si>
    <t>Johnson, James F</t>
  </si>
  <si>
    <t>Cullen MD, Bruce F &amp; Miriam</t>
  </si>
  <si>
    <t>McGrew, Richard &amp; Teri</t>
  </si>
  <si>
    <t>10/27/1999</t>
  </si>
  <si>
    <t>Wood, Eric</t>
  </si>
  <si>
    <t>11/10/1999</t>
  </si>
  <si>
    <t>Alving, John &amp; MaryLouise</t>
  </si>
  <si>
    <t>Enslow Jr, David R &amp; Margaret</t>
  </si>
  <si>
    <t>02/09/2000</t>
  </si>
  <si>
    <t>Dow, Richard W &amp; Katharine</t>
  </si>
  <si>
    <t xml:space="preserve">•  Wilcox, Fred &amp; Sue - mixed membership classes - Active, Active Social, returning to Active. </t>
  </si>
  <si>
    <t>No gap in being member, has 25 years of continuous membership</t>
  </si>
  <si>
    <t xml:space="preserve">Financials FY22-23 - MEMBERSHIP - Intermediates </t>
  </si>
  <si>
    <t>Seniority No</t>
  </si>
  <si>
    <t>Dues 10/01/2024</t>
  </si>
  <si>
    <t>RATES INTERMEDIATES</t>
  </si>
  <si>
    <t>Initiation Fee</t>
  </si>
  <si>
    <t>Dues</t>
  </si>
  <si>
    <t>•  Ages 21 - 25</t>
  </si>
  <si>
    <t>•  21-25</t>
  </si>
  <si>
    <t>•  Ages 26 - 30</t>
  </si>
  <si>
    <t>•  26-30</t>
  </si>
  <si>
    <t>•  Ages 31 - 35</t>
  </si>
  <si>
    <t>•  31-35</t>
  </si>
  <si>
    <t>•  Ages 36 - 39</t>
  </si>
  <si>
    <t>•  36-39</t>
  </si>
  <si>
    <t>ALPHA SORT</t>
  </si>
  <si>
    <t>Austin, Charlotte A.</t>
  </si>
  <si>
    <t>11/08/2017</t>
  </si>
  <si>
    <t>Behen, Dillon</t>
  </si>
  <si>
    <t>06/09/2021</t>
  </si>
  <si>
    <t>Cameron, Jake</t>
  </si>
  <si>
    <t>01/08/2020</t>
  </si>
  <si>
    <t>Cameron, Macauley</t>
  </si>
  <si>
    <t>12/11/2019</t>
  </si>
  <si>
    <t>Cameron, Morgan</t>
  </si>
  <si>
    <t>05/12/2021</t>
  </si>
  <si>
    <t>Carlisle, Scott</t>
  </si>
  <si>
    <t>06/11/2014</t>
  </si>
  <si>
    <t>Castrow, William N</t>
  </si>
  <si>
    <t>Ciechowski, Heather</t>
  </si>
  <si>
    <t>04/13/2022</t>
  </si>
  <si>
    <t>Epstein, Marcus &amp; Ashley</t>
  </si>
  <si>
    <t>Geving, Erik R</t>
  </si>
  <si>
    <t>04/12/2017</t>
  </si>
  <si>
    <t>Grimm, Jeffrey P &amp; Maggie</t>
  </si>
  <si>
    <t>Grimm, Robert J &amp; Jo</t>
  </si>
  <si>
    <t>Krows, Benjamin D &amp; Nicole V</t>
  </si>
  <si>
    <t>•  To Active 09/18/2025 as age 40</t>
  </si>
  <si>
    <t>Mauldin, Devin &amp; Andrea</t>
  </si>
  <si>
    <t>10/14/2020</t>
  </si>
  <si>
    <t>McGrew, Taylor</t>
  </si>
  <si>
    <t>06/24/2015</t>
  </si>
  <si>
    <t>Ramon, Curtis F</t>
  </si>
  <si>
    <t>Reed, Asia-Nicole (MiMi)</t>
  </si>
  <si>
    <t>09/25/2019</t>
  </si>
  <si>
    <t>Reid, Valerie</t>
  </si>
  <si>
    <t>06/12/2019</t>
  </si>
  <si>
    <t>Richards, Christopher</t>
  </si>
  <si>
    <t>06/28/2017</t>
  </si>
  <si>
    <t>Schultz, Garett</t>
  </si>
  <si>
    <t>06/08/2022</t>
  </si>
  <si>
    <t>04/26/2023</t>
  </si>
  <si>
    <t>Stevenson, Michael</t>
  </si>
  <si>
    <t>06/26/2019</t>
  </si>
  <si>
    <t>Stocklin, Mac</t>
  </si>
  <si>
    <t>11/12/2014</t>
  </si>
  <si>
    <t>Vanderwall, Elizabeth</t>
  </si>
  <si>
    <t>10/09/2019</t>
  </si>
  <si>
    <t>Vanderwall, Jamie</t>
  </si>
  <si>
    <t>04/10/2019</t>
  </si>
  <si>
    <t>Vanderwall, Mary</t>
  </si>
  <si>
    <t>Werner, Jack</t>
  </si>
  <si>
    <t>05/13/2020</t>
  </si>
  <si>
    <t>Werner, Nick</t>
  </si>
  <si>
    <t>12/14/2016</t>
  </si>
  <si>
    <t>Wile, Katharine &amp; Zachary</t>
  </si>
  <si>
    <t>12/08/2021</t>
  </si>
  <si>
    <t>Yjord-Jackson, Torben &amp; Alicia</t>
  </si>
  <si>
    <t>05/10/2023</t>
  </si>
  <si>
    <t>•  Banking - MM &amp; Sweep</t>
  </si>
  <si>
    <t xml:space="preserve">   Sch3C Spirits/Bar</t>
  </si>
  <si>
    <t xml:space="preserve">      9110C Spirits/Bar Income</t>
  </si>
  <si>
    <t xml:space="preserve">      9120C Spirits/Bar Cost of Goods Sold</t>
  </si>
  <si>
    <t xml:space="preserve">      9130C Spirits/Bar Expenses</t>
  </si>
  <si>
    <t xml:space="preserve">   Total Sch3C Spirits/Bar</t>
  </si>
  <si>
    <t xml:space="preserve">      9510C Stores Income</t>
  </si>
  <si>
    <t xml:space="preserve">      9520C Stores Cost of Goods Sold</t>
  </si>
  <si>
    <t>Payroll Corrections</t>
  </si>
  <si>
    <t>1995 - 520 Project-Accumulated Costs</t>
  </si>
  <si>
    <t>Financials FY23-24 - SNAPSHOT</t>
  </si>
  <si>
    <t>Financials FY23-24- HIGHLIGHTS</t>
  </si>
  <si>
    <t>Financials FY23-24 - BALANCE SHEET</t>
  </si>
  <si>
    <t>Financials FY23-24 - CAPITAL</t>
  </si>
  <si>
    <t>1013 / 1010</t>
  </si>
  <si>
    <t>8869 /1011</t>
  </si>
  <si>
    <t>2708 / 1017</t>
  </si>
  <si>
    <t xml:space="preserve">   9100C Sch3C Spirits/Bar</t>
  </si>
  <si>
    <t xml:space="preserve">         7140V Utilities-Water,Garb,etc</t>
  </si>
  <si>
    <t>Seniority No 2024</t>
  </si>
  <si>
    <t>139</t>
  </si>
  <si>
    <t>02/29/2024</t>
  </si>
  <si>
    <t>140</t>
  </si>
  <si>
    <t>141</t>
  </si>
  <si>
    <t>142</t>
  </si>
  <si>
    <t>143</t>
  </si>
  <si>
    <t>144</t>
  </si>
  <si>
    <t>378</t>
  </si>
  <si>
    <t>155</t>
  </si>
  <si>
    <t>* Note</t>
  </si>
  <si>
    <t>MEMBERS &gt; 24 YEARS</t>
  </si>
  <si>
    <t>Ewton, Jessica</t>
  </si>
  <si>
    <t>Spring, Eric &amp; Katie</t>
  </si>
  <si>
    <t>10/11/2023</t>
  </si>
  <si>
    <t>21-25</t>
  </si>
  <si>
    <t>26-30</t>
  </si>
  <si>
    <t>31-35</t>
  </si>
  <si>
    <t>36-39</t>
  </si>
  <si>
    <t>Age Group</t>
  </si>
  <si>
    <t>•  To Active 01/13/2025 as age 40</t>
  </si>
  <si>
    <t>•  Sweep - Net Total</t>
  </si>
  <si>
    <t>6040B / 1030E</t>
  </si>
  <si>
    <t>Non-Capital</t>
  </si>
  <si>
    <t>•  Memorial Fund - Reiche Gift (Non-Capital)</t>
  </si>
  <si>
    <t xml:space="preserve">   •  $114,104 - per Quarter Allocation $28,526 - effective 12/31/2022 Quarter Ending - based on projected budget</t>
  </si>
  <si>
    <t>•  Two (2) Ts matured late February - $150K returned and of that $2,002 interest gained</t>
  </si>
  <si>
    <t xml:space="preserve">•  $2.2K interest gained </t>
  </si>
  <si>
    <t>•  $821 Net Income (yes this is correct)</t>
  </si>
  <si>
    <t>•  ($61.5K) Net Expenses</t>
  </si>
  <si>
    <t>•  ($113.3K) Net Income/Expense for month</t>
  </si>
  <si>
    <t>• ($1.5K) adjustments dues and moorage</t>
  </si>
  <si>
    <t>•  To be reinvested March 2024</t>
  </si>
  <si>
    <t>•  Low key month as month immediately prior to a billing month</t>
  </si>
  <si>
    <t>•  ($6.9K) Utilities - garbage, gas, recycling, water dock/house, cable</t>
  </si>
  <si>
    <t>•  ($13.9K) Dock Electrical</t>
  </si>
  <si>
    <t>•  ($2K Insurance)</t>
  </si>
  <si>
    <t>•  ($5.8K Deer Harbor Lease)</t>
  </si>
  <si>
    <t>•  ($4.7K) Dock Maintenance</t>
  </si>
  <si>
    <t>•  $3.6K bottom line budget credit due to $15.8K insurance coverage for Wood Floor repair on 3rd Floor</t>
  </si>
  <si>
    <t>•  ($1.9) Custodial Services</t>
  </si>
  <si>
    <t>•  ($2K) Bilge Pump costs</t>
  </si>
  <si>
    <t>•  ($4.6K) Junior Officers Ball</t>
  </si>
  <si>
    <t>•  ($941) Childrens Christmas Party</t>
  </si>
  <si>
    <t>•  ($1.5K) Membership costs</t>
  </si>
  <si>
    <t>•  BB Income - no activity</t>
  </si>
  <si>
    <t>•  BB Expenses - ($4.9K) general operations/maintenance</t>
  </si>
  <si>
    <t xml:space="preserve">Capital / Non-Capital </t>
  </si>
  <si>
    <t>•  ($52.7K) - Bainbridge Mitigation</t>
  </si>
  <si>
    <t>•  ($464) - Reiche Memorial - Placque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</si>
</sst>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[Red]\(#,##0.00\);\-\-"/>
    <numFmt numFmtId="165" formatCode="[$-409]mmmm\-yy;@"/>
    <numFmt numFmtId="166" formatCode="[$-409]mmm\-yy;@"/>
    <numFmt numFmtId="167" formatCode="mm/dd/yy;@"/>
    <numFmt numFmtId="168" formatCode="#,##0.00\ _€"/>
    <numFmt numFmtId="169" formatCode="0.00%;[Red]\-0.00%"/>
    <numFmt numFmtId="170" formatCode="#,##0.00;\-#,##0.00"/>
    <numFmt numFmtId="171" formatCode="mm/dd/yyyy"/>
    <numFmt numFmtId="172" formatCode="0.0%"/>
    <numFmt numFmtId="173" formatCode="0.000%"/>
    <numFmt numFmtId="174" formatCode="#,##0_);[Red]\(#,##0\);\-\-"/>
    <numFmt numFmtId="175" formatCode="mm/yyyy"/>
    <numFmt numFmtId="176" formatCode="m/d/yy;@"/>
    <numFmt numFmtId="177" formatCode="0.00_);[Red]\(0.00\)"/>
  </numFmts>
  <fonts count="53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C00000"/>
      <name val="Arial"/>
      <family val="2"/>
    </font>
    <font>
      <b/>
      <sz val="6"/>
      <color rgb="FFC00000"/>
      <name val="Arial"/>
      <family val="2"/>
    </font>
    <font>
      <sz val="6"/>
      <color rgb="FFC00000"/>
      <name val="Arial"/>
      <family val="2"/>
    </font>
    <font>
      <sz val="6"/>
      <name val="Arial"/>
      <family val="2"/>
    </font>
    <font>
      <sz val="10"/>
      <name val="Verdana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6"/>
      <color rgb="FF0033CC"/>
      <name val="Arial"/>
      <family val="2"/>
    </font>
    <font>
      <sz val="6"/>
      <color rgb="FF0033CC"/>
      <name val="Arial"/>
      <family val="2"/>
    </font>
    <font>
      <sz val="9"/>
      <color rgb="FF0033CC"/>
      <name val="Arial"/>
      <family val="2"/>
    </font>
    <font>
      <b/>
      <sz val="8"/>
      <color rgb="FF002060"/>
      <name val="Arial"/>
      <family val="2"/>
    </font>
    <font>
      <sz val="8"/>
      <name val="Arial"/>
      <family val="2"/>
    </font>
    <font>
      <b/>
      <sz val="8"/>
      <color rgb="FF6600FF"/>
      <name val="Arial"/>
      <family val="2"/>
    </font>
    <font>
      <b/>
      <sz val="8"/>
      <color rgb="FFC00000"/>
      <name val="Arial"/>
      <family val="2"/>
    </font>
    <font>
      <sz val="8"/>
      <color rgb="FFC00000"/>
      <name val="Arial"/>
      <family val="2"/>
    </font>
    <font>
      <sz val="11"/>
      <color indexed="8"/>
      <name val="Aptos Narrow"/>
      <family val="2"/>
      <scheme val="minor"/>
    </font>
    <font>
      <sz val="6"/>
      <color indexed="8"/>
      <name val="Arial"/>
      <family val="2"/>
    </font>
    <font>
      <b/>
      <sz val="8"/>
      <color rgb="FFFF0000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9"/>
      <color rgb="FFFF0000"/>
      <name val="Arial"/>
      <family val="2"/>
    </font>
    <font>
      <b/>
      <sz val="6"/>
      <color rgb="FF000000"/>
      <name val="Arial"/>
      <family val="2"/>
    </font>
    <font>
      <b/>
      <sz val="6"/>
      <color rgb="FF0070C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6"/>
      <color theme="0" tint="-0.34998626667073579"/>
      <name val="Arial"/>
      <family val="2"/>
    </font>
    <font>
      <b/>
      <sz val="6"/>
      <color theme="0" tint="-0.499984740745262"/>
      <name val="Arial"/>
      <family val="2"/>
    </font>
    <font>
      <b/>
      <sz val="6"/>
      <color rgb="FF0066CC"/>
      <name val="Arial"/>
      <family val="2"/>
    </font>
    <font>
      <b/>
      <sz val="9"/>
      <color rgb="FF0066CC"/>
      <name val="Arial"/>
      <family val="2"/>
    </font>
    <font>
      <b/>
      <sz val="8"/>
      <color rgb="FF0066CC"/>
      <name val="Arial"/>
      <family val="2"/>
    </font>
    <font>
      <b/>
      <sz val="6"/>
      <color rgb="FF6600FF"/>
      <name val="Arial"/>
      <family val="2"/>
    </font>
    <font>
      <sz val="10"/>
      <name val="Arial"/>
      <family val="2"/>
    </font>
    <font>
      <sz val="6"/>
      <color theme="0" tint="-0.499984740745262"/>
      <name val="Arial"/>
      <family val="2"/>
    </font>
    <font>
      <b/>
      <sz val="6"/>
      <color theme="0" tint="-0.249977111117893"/>
      <name val="Arial"/>
      <family val="2"/>
    </font>
    <font>
      <sz val="6"/>
      <color rgb="FF6600FF"/>
      <name val="Arial"/>
      <family val="2"/>
    </font>
    <font>
      <b/>
      <sz val="9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6"/>
      <color rgb="FF993300"/>
      <name val="Arial"/>
      <family val="2"/>
    </font>
    <font>
      <b/>
      <sz val="8"/>
      <color rgb="FF0033CC"/>
      <name val="Arial"/>
      <family val="2"/>
    </font>
    <font>
      <sz val="6"/>
      <color theme="0" tint="-0.14999847407452621"/>
      <name val="Arial"/>
      <family val="2"/>
    </font>
    <font>
      <sz val="6"/>
      <color theme="1"/>
      <name val="Arial"/>
      <family val="2"/>
    </font>
    <font>
      <sz val="6"/>
      <color rgb="FF0070C0"/>
      <name val="Arial"/>
      <family val="2"/>
    </font>
    <font>
      <b/>
      <sz val="5"/>
      <name val="Arial"/>
      <family val="2"/>
    </font>
    <font>
      <sz val="6"/>
      <color rgb="FF0000FF"/>
      <name val="Arial"/>
      <family val="2"/>
    </font>
    <font>
      <b/>
      <sz val="6"/>
      <color theme="1"/>
      <name val="Arial"/>
      <family val="2"/>
    </font>
    <font>
      <b/>
      <sz val="6"/>
      <color indexed="8"/>
      <name val="Arial"/>
      <family val="2"/>
    </font>
    <font>
      <b/>
      <sz val="9"/>
      <color rgb="FF00206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99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20" fillId="0" borderId="0"/>
    <xf numFmtId="0" fontId="9" fillId="0" borderId="0"/>
    <xf numFmtId="44" fontId="9" fillId="0" borderId="0" applyFont="0" applyFill="0" applyBorder="0" applyAlignment="0" applyProtection="0"/>
    <xf numFmtId="0" fontId="37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784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0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0" fontId="2" fillId="0" borderId="1" xfId="1" applyNumberFormat="1" applyFont="1" applyBorder="1"/>
    <xf numFmtId="0" fontId="2" fillId="0" borderId="1" xfId="1" applyFont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10" fontId="3" fillId="2" borderId="1" xfId="1" applyNumberFormat="1" applyFont="1" applyFill="1" applyBorder="1"/>
    <xf numFmtId="0" fontId="4" fillId="3" borderId="1" xfId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164" fontId="4" fillId="3" borderId="1" xfId="1" applyNumberFormat="1" applyFont="1" applyFill="1" applyBorder="1"/>
    <xf numFmtId="10" fontId="4" fillId="3" borderId="1" xfId="1" applyNumberFormat="1" applyFont="1" applyFill="1" applyBorder="1"/>
    <xf numFmtId="166" fontId="2" fillId="0" borderId="1" xfId="1" applyNumberFormat="1" applyFont="1" applyBorder="1" applyAlignment="1">
      <alignment horizontal="center" wrapText="1"/>
    </xf>
    <xf numFmtId="166" fontId="2" fillId="4" borderId="1" xfId="1" applyNumberFormat="1" applyFont="1" applyFill="1" applyBorder="1" applyAlignment="1">
      <alignment horizontal="center" wrapText="1"/>
    </xf>
    <xf numFmtId="10" fontId="2" fillId="4" borderId="1" xfId="1" applyNumberFormat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3" fillId="5" borderId="1" xfId="1" applyFont="1" applyFill="1" applyBorder="1"/>
    <xf numFmtId="10" fontId="3" fillId="5" borderId="1" xfId="1" applyNumberFormat="1" applyFont="1" applyFill="1" applyBorder="1" applyAlignment="1">
      <alignment horizontal="right"/>
    </xf>
    <xf numFmtId="164" fontId="3" fillId="5" borderId="1" xfId="1" applyNumberFormat="1" applyFont="1" applyFill="1" applyBorder="1"/>
    <xf numFmtId="10" fontId="5" fillId="5" borderId="1" xfId="1" applyNumberFormat="1" applyFont="1" applyFill="1" applyBorder="1"/>
    <xf numFmtId="0" fontId="3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0" fontId="7" fillId="0" borderId="1" xfId="1" applyNumberFormat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/>
    <xf numFmtId="164" fontId="8" fillId="0" borderId="1" xfId="1" applyNumberFormat="1" applyFont="1" applyBorder="1"/>
    <xf numFmtId="0" fontId="2" fillId="6" borderId="1" xfId="1" applyFont="1" applyFill="1" applyBorder="1"/>
    <xf numFmtId="10" fontId="2" fillId="6" borderId="1" xfId="1" applyNumberFormat="1" applyFont="1" applyFill="1" applyBorder="1" applyAlignment="1">
      <alignment horizontal="right"/>
    </xf>
    <xf numFmtId="164" fontId="2" fillId="6" borderId="1" xfId="1" applyNumberFormat="1" applyFont="1" applyFill="1" applyBorder="1"/>
    <xf numFmtId="10" fontId="7" fillId="6" borderId="1" xfId="1" applyNumberFormat="1" applyFont="1" applyFill="1" applyBorder="1"/>
    <xf numFmtId="10" fontId="6" fillId="6" borderId="1" xfId="1" applyNumberFormat="1" applyFont="1" applyFill="1" applyBorder="1"/>
    <xf numFmtId="0" fontId="2" fillId="7" borderId="1" xfId="1" applyFont="1" applyFill="1" applyBorder="1"/>
    <xf numFmtId="10" fontId="2" fillId="7" borderId="1" xfId="1" applyNumberFormat="1" applyFont="1" applyFill="1" applyBorder="1" applyAlignment="1">
      <alignment horizontal="right"/>
    </xf>
    <xf numFmtId="164" fontId="2" fillId="7" borderId="1" xfId="1" applyNumberFormat="1" applyFont="1" applyFill="1" applyBorder="1"/>
    <xf numFmtId="164" fontId="8" fillId="0" borderId="1" xfId="2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10" fontId="7" fillId="0" borderId="1" xfId="2" applyNumberFormat="1" applyFont="1" applyBorder="1" applyAlignment="1">
      <alignment horizontal="right" wrapText="1"/>
    </xf>
    <xf numFmtId="164" fontId="2" fillId="7" borderId="1" xfId="2" applyNumberFormat="1" applyFont="1" applyFill="1" applyBorder="1" applyAlignment="1">
      <alignment horizontal="right" wrapText="1"/>
    </xf>
    <xf numFmtId="10" fontId="10" fillId="5" borderId="1" xfId="1" applyNumberFormat="1" applyFont="1" applyFill="1" applyBorder="1"/>
    <xf numFmtId="0" fontId="11" fillId="0" borderId="1" xfId="1" applyFont="1" applyBorder="1" applyAlignment="1">
      <alignment horizontal="left"/>
    </xf>
    <xf numFmtId="10" fontId="13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/>
    </xf>
    <xf numFmtId="0" fontId="3" fillId="5" borderId="1" xfId="1" applyFont="1" applyFill="1" applyBorder="1" applyAlignment="1">
      <alignment horizontal="left"/>
    </xf>
    <xf numFmtId="10" fontId="14" fillId="5" borderId="1" xfId="1" applyNumberFormat="1" applyFont="1" applyFill="1" applyBorder="1" applyAlignment="1">
      <alignment horizontal="right"/>
    </xf>
    <xf numFmtId="164" fontId="3" fillId="5" borderId="1" xfId="1" applyNumberFormat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left"/>
    </xf>
    <xf numFmtId="0" fontId="2" fillId="9" borderId="1" xfId="1" applyFont="1" applyFill="1" applyBorder="1" applyAlignment="1">
      <alignment horizontal="left"/>
    </xf>
    <xf numFmtId="10" fontId="12" fillId="9" borderId="1" xfId="1" applyNumberFormat="1" applyFont="1" applyFill="1" applyBorder="1" applyAlignment="1">
      <alignment horizontal="right"/>
    </xf>
    <xf numFmtId="164" fontId="8" fillId="9" borderId="1" xfId="1" applyNumberFormat="1" applyFont="1" applyFill="1" applyBorder="1" applyAlignment="1">
      <alignment horizontal="left"/>
    </xf>
    <xf numFmtId="164" fontId="2" fillId="9" borderId="1" xfId="1" applyNumberFormat="1" applyFont="1" applyFill="1" applyBorder="1"/>
    <xf numFmtId="10" fontId="7" fillId="9" borderId="1" xfId="1" applyNumberFormat="1" applyFont="1" applyFill="1" applyBorder="1"/>
    <xf numFmtId="10" fontId="1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/>
    </xf>
    <xf numFmtId="0" fontId="2" fillId="9" borderId="1" xfId="1" applyFont="1" applyFill="1" applyBorder="1" applyAlignment="1">
      <alignment horizontal="center"/>
    </xf>
    <xf numFmtId="164" fontId="2" fillId="9" borderId="1" xfId="1" applyNumberFormat="1" applyFont="1" applyFill="1" applyBorder="1" applyAlignment="1">
      <alignment horizontal="left"/>
    </xf>
    <xf numFmtId="164" fontId="2" fillId="9" borderId="1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2" fillId="6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 applyAlignment="1">
      <alignment horizontal="left"/>
    </xf>
    <xf numFmtId="0" fontId="4" fillId="0" borderId="1" xfId="1" applyFont="1" applyBorder="1"/>
    <xf numFmtId="0" fontId="4" fillId="11" borderId="1" xfId="1" applyFont="1" applyFill="1" applyBorder="1" applyAlignment="1">
      <alignment horizontal="center"/>
    </xf>
    <xf numFmtId="165" fontId="15" fillId="11" borderId="1" xfId="1" applyNumberFormat="1" applyFont="1" applyFill="1" applyBorder="1" applyAlignment="1">
      <alignment horizontal="left"/>
    </xf>
    <xf numFmtId="0" fontId="4" fillId="11" borderId="1" xfId="1" applyFont="1" applyFill="1" applyBorder="1" applyAlignment="1">
      <alignment horizontal="left"/>
    </xf>
    <xf numFmtId="165" fontId="4" fillId="11" borderId="1" xfId="1" applyNumberFormat="1" applyFont="1" applyFill="1" applyBorder="1" applyAlignment="1">
      <alignment horizontal="left"/>
    </xf>
    <xf numFmtId="0" fontId="4" fillId="0" borderId="1" xfId="3" applyFont="1" applyBorder="1" applyAlignment="1">
      <alignment horizontal="left" wrapText="1"/>
    </xf>
    <xf numFmtId="167" fontId="15" fillId="0" borderId="1" xfId="3" applyNumberFormat="1" applyFont="1" applyBorder="1"/>
    <xf numFmtId="0" fontId="4" fillId="0" borderId="1" xfId="3" applyFont="1" applyBorder="1" applyAlignment="1">
      <alignment horizontal="right" wrapText="1"/>
    </xf>
    <xf numFmtId="0" fontId="16" fillId="0" borderId="1" xfId="3" applyFont="1" applyBorder="1" applyAlignment="1">
      <alignment wrapText="1"/>
    </xf>
    <xf numFmtId="0" fontId="16" fillId="0" borderId="1" xfId="3" applyFont="1" applyBorder="1" applyAlignment="1">
      <alignment horizontal="left" wrapText="1"/>
    </xf>
    <xf numFmtId="0" fontId="15" fillId="0" borderId="1" xfId="3" applyFont="1" applyBorder="1" applyAlignment="1">
      <alignment horizontal="left" wrapText="1"/>
    </xf>
    <xf numFmtId="0" fontId="17" fillId="0" borderId="1" xfId="3" applyFont="1" applyBorder="1" applyAlignment="1">
      <alignment horizontal="right" wrapText="1"/>
    </xf>
    <xf numFmtId="0" fontId="11" fillId="0" borderId="1" xfId="3" applyFont="1" applyBorder="1" applyAlignment="1">
      <alignment wrapText="1"/>
    </xf>
    <xf numFmtId="0" fontId="15" fillId="0" borderId="1" xfId="3" applyFont="1" applyBorder="1"/>
    <xf numFmtId="0" fontId="19" fillId="0" borderId="1" xfId="3" applyFont="1" applyBorder="1" applyAlignment="1">
      <alignment wrapText="1"/>
    </xf>
    <xf numFmtId="0" fontId="2" fillId="0" borderId="0" xfId="1" applyFont="1"/>
    <xf numFmtId="40" fontId="2" fillId="0" borderId="0" xfId="1" applyNumberFormat="1" applyFont="1" applyAlignment="1">
      <alignment horizontal="right"/>
    </xf>
    <xf numFmtId="40" fontId="2" fillId="0" borderId="0" xfId="1" applyNumberFormat="1" applyFont="1" applyAlignment="1">
      <alignment horizontal="left"/>
    </xf>
    <xf numFmtId="10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3" fillId="10" borderId="0" xfId="1" applyFont="1" applyFill="1"/>
    <xf numFmtId="40" fontId="3" fillId="10" borderId="0" xfId="1" applyNumberFormat="1" applyFont="1" applyFill="1" applyAlignment="1">
      <alignment horizontal="center"/>
    </xf>
    <xf numFmtId="40" fontId="3" fillId="10" borderId="0" xfId="1" applyNumberFormat="1" applyFont="1" applyFill="1" applyAlignment="1">
      <alignment horizontal="left"/>
    </xf>
    <xf numFmtId="10" fontId="3" fillId="10" borderId="0" xfId="1" applyNumberFormat="1" applyFont="1" applyFill="1" applyAlignment="1">
      <alignment horizontal="center"/>
    </xf>
    <xf numFmtId="0" fontId="3" fillId="10" borderId="0" xfId="1" applyFont="1" applyFill="1" applyAlignment="1">
      <alignment horizontal="left"/>
    </xf>
    <xf numFmtId="165" fontId="4" fillId="11" borderId="0" xfId="1" applyNumberFormat="1" applyFont="1" applyFill="1" applyAlignment="1">
      <alignment horizontal="left"/>
    </xf>
    <xf numFmtId="40" fontId="4" fillId="11" borderId="0" xfId="1" applyNumberFormat="1" applyFont="1" applyFill="1" applyAlignment="1">
      <alignment horizontal="left"/>
    </xf>
    <xf numFmtId="10" fontId="4" fillId="11" borderId="0" xfId="1" applyNumberFormat="1" applyFont="1" applyFill="1" applyAlignment="1">
      <alignment horizontal="left"/>
    </xf>
    <xf numFmtId="40" fontId="4" fillId="11" borderId="0" xfId="1" applyNumberFormat="1" applyFont="1" applyFill="1" applyAlignment="1">
      <alignment horizontal="center"/>
    </xf>
    <xf numFmtId="0" fontId="4" fillId="11" borderId="0" xfId="1" applyFont="1" applyFill="1" applyAlignment="1">
      <alignment horizontal="left"/>
    </xf>
    <xf numFmtId="49" fontId="2" fillId="0" borderId="0" xfId="2" applyNumberFormat="1" applyFont="1"/>
    <xf numFmtId="40" fontId="2" fillId="0" borderId="0" xfId="2" applyNumberFormat="1" applyFont="1" applyAlignment="1">
      <alignment horizontal="centerContinuous"/>
    </xf>
    <xf numFmtId="10" fontId="2" fillId="0" borderId="0" xfId="2" applyNumberFormat="1" applyFont="1" applyAlignment="1">
      <alignment horizontal="centerContinuous"/>
    </xf>
    <xf numFmtId="40" fontId="2" fillId="0" borderId="0" xfId="2" applyNumberFormat="1" applyFont="1"/>
    <xf numFmtId="0" fontId="2" fillId="0" borderId="0" xfId="2" applyFont="1"/>
    <xf numFmtId="40" fontId="2" fillId="11" borderId="1" xfId="2" applyNumberFormat="1" applyFont="1" applyFill="1" applyBorder="1" applyAlignment="1">
      <alignment horizontal="center" wrapText="1"/>
    </xf>
    <xf numFmtId="10" fontId="2" fillId="11" borderId="1" xfId="2" applyNumberFormat="1" applyFont="1" applyFill="1" applyBorder="1" applyAlignment="1">
      <alignment horizontal="center" wrapText="1"/>
    </xf>
    <xf numFmtId="40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49" fontId="8" fillId="0" borderId="0" xfId="2" applyNumberFormat="1" applyFont="1"/>
    <xf numFmtId="40" fontId="8" fillId="0" borderId="0" xfId="2" applyNumberFormat="1" applyFont="1" applyAlignment="1">
      <alignment horizontal="center" wrapText="1"/>
    </xf>
    <xf numFmtId="40" fontId="2" fillId="0" borderId="0" xfId="2" applyNumberFormat="1" applyFont="1" applyAlignment="1">
      <alignment horizontal="center" wrapText="1"/>
    </xf>
    <xf numFmtId="10" fontId="8" fillId="0" borderId="0" xfId="2" applyNumberFormat="1" applyFont="1" applyAlignment="1">
      <alignment horizontal="center" wrapText="1"/>
    </xf>
    <xf numFmtId="40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21" fillId="0" borderId="0" xfId="4" applyFont="1"/>
    <xf numFmtId="40" fontId="21" fillId="0" borderId="0" xfId="4" applyNumberFormat="1" applyFont="1"/>
    <xf numFmtId="40" fontId="2" fillId="0" borderId="0" xfId="4" applyNumberFormat="1" applyFont="1"/>
    <xf numFmtId="0" fontId="22" fillId="13" borderId="1" xfId="2" applyFont="1" applyFill="1" applyBorder="1"/>
    <xf numFmtId="40" fontId="8" fillId="13" borderId="1" xfId="2" applyNumberFormat="1" applyFont="1" applyFill="1" applyBorder="1"/>
    <xf numFmtId="40" fontId="2" fillId="13" borderId="1" xfId="2" applyNumberFormat="1" applyFont="1" applyFill="1" applyBorder="1"/>
    <xf numFmtId="10" fontId="8" fillId="13" borderId="1" xfId="2" applyNumberFormat="1" applyFont="1" applyFill="1" applyBorder="1"/>
    <xf numFmtId="40" fontId="23" fillId="13" borderId="0" xfId="2" applyNumberFormat="1" applyFont="1" applyFill="1"/>
    <xf numFmtId="0" fontId="23" fillId="13" borderId="0" xfId="2" applyFont="1" applyFill="1"/>
    <xf numFmtId="0" fontId="2" fillId="13" borderId="1" xfId="2" applyFont="1" applyFill="1" applyBorder="1"/>
    <xf numFmtId="10" fontId="2" fillId="13" borderId="1" xfId="2" applyNumberFormat="1" applyFont="1" applyFill="1" applyBorder="1"/>
    <xf numFmtId="40" fontId="24" fillId="13" borderId="0" xfId="2" applyNumberFormat="1" applyFont="1" applyFill="1"/>
    <xf numFmtId="0" fontId="24" fillId="13" borderId="0" xfId="2" applyFont="1" applyFill="1"/>
    <xf numFmtId="0" fontId="8" fillId="13" borderId="1" xfId="2" applyFont="1" applyFill="1" applyBorder="1"/>
    <xf numFmtId="40" fontId="8" fillId="0" borderId="0" xfId="4" applyNumberFormat="1" applyFont="1"/>
    <xf numFmtId="10" fontId="8" fillId="0" borderId="0" xfId="4" applyNumberFormat="1" applyFont="1"/>
    <xf numFmtId="0" fontId="6" fillId="0" borderId="0" xfId="1" applyFont="1" applyAlignment="1">
      <alignment horizontal="center"/>
    </xf>
    <xf numFmtId="0" fontId="8" fillId="0" borderId="0" xfId="1" applyFont="1"/>
    <xf numFmtId="10" fontId="13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left"/>
    </xf>
    <xf numFmtId="40" fontId="13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5" fillId="10" borderId="0" xfId="1" applyFont="1" applyFill="1" applyAlignment="1">
      <alignment horizontal="center"/>
    </xf>
    <xf numFmtId="0" fontId="3" fillId="10" borderId="0" xfId="1" applyFont="1" applyFill="1" applyAlignment="1">
      <alignment horizontal="center"/>
    </xf>
    <xf numFmtId="164" fontId="3" fillId="10" borderId="0" xfId="1" applyNumberFormat="1" applyFont="1" applyFill="1" applyAlignment="1">
      <alignment horizontal="center"/>
    </xf>
    <xf numFmtId="0" fontId="18" fillId="11" borderId="0" xfId="1" applyFont="1" applyFill="1" applyAlignment="1">
      <alignment horizontal="center"/>
    </xf>
    <xf numFmtId="164" fontId="4" fillId="11" borderId="0" xfId="1" applyNumberFormat="1" applyFont="1" applyFill="1" applyAlignment="1">
      <alignment horizontal="left"/>
    </xf>
    <xf numFmtId="0" fontId="4" fillId="11" borderId="0" xfId="1" applyFont="1" applyFill="1" applyAlignment="1">
      <alignment horizontal="center"/>
    </xf>
    <xf numFmtId="49" fontId="26" fillId="0" borderId="0" xfId="5" applyNumberFormat="1" applyFont="1"/>
    <xf numFmtId="49" fontId="6" fillId="0" borderId="0" xfId="5" applyNumberFormat="1" applyFont="1" applyAlignment="1">
      <alignment horizontal="center"/>
    </xf>
    <xf numFmtId="40" fontId="8" fillId="0" borderId="0" xfId="5" applyNumberFormat="1" applyFont="1" applyAlignment="1">
      <alignment horizontal="centerContinuous"/>
    </xf>
    <xf numFmtId="40" fontId="8" fillId="0" borderId="0" xfId="5" applyNumberFormat="1" applyFont="1"/>
    <xf numFmtId="40" fontId="27" fillId="0" borderId="0" xfId="5" applyNumberFormat="1" applyFont="1"/>
    <xf numFmtId="0" fontId="8" fillId="0" borderId="0" xfId="5" applyFont="1"/>
    <xf numFmtId="0" fontId="24" fillId="0" borderId="0" xfId="5" applyFont="1" applyAlignment="1">
      <alignment horizontal="center"/>
    </xf>
    <xf numFmtId="0" fontId="2" fillId="0" borderId="0" xfId="5" applyFont="1" applyAlignment="1">
      <alignment horizontal="center"/>
    </xf>
    <xf numFmtId="0" fontId="2" fillId="0" borderId="0" xfId="5" applyFont="1"/>
    <xf numFmtId="0" fontId="8" fillId="0" borderId="0" xfId="5" applyFont="1" applyAlignment="1">
      <alignment horizontal="center"/>
    </xf>
    <xf numFmtId="40" fontId="28" fillId="10" borderId="2" xfId="5" applyNumberFormat="1" applyFont="1" applyFill="1" applyBorder="1" applyAlignment="1">
      <alignment horizontal="centerContinuous"/>
    </xf>
    <xf numFmtId="165" fontId="4" fillId="10" borderId="2" xfId="1" applyNumberFormat="1" applyFont="1" applyFill="1" applyBorder="1" applyAlignment="1">
      <alignment horizontal="center"/>
    </xf>
    <xf numFmtId="49" fontId="26" fillId="0" borderId="0" xfId="5" applyNumberFormat="1" applyFont="1" applyAlignment="1">
      <alignment horizontal="center"/>
    </xf>
    <xf numFmtId="167" fontId="29" fillId="11" borderId="2" xfId="5" applyNumberFormat="1" applyFont="1" applyFill="1" applyBorder="1" applyAlignment="1">
      <alignment horizontal="center"/>
    </xf>
    <xf numFmtId="40" fontId="29" fillId="11" borderId="2" xfId="5" applyNumberFormat="1" applyFont="1" applyFill="1" applyBorder="1" applyAlignment="1">
      <alignment horizontal="center"/>
    </xf>
    <xf numFmtId="40" fontId="27" fillId="0" borderId="0" xfId="5" applyNumberFormat="1" applyFont="1" applyAlignment="1">
      <alignment horizontal="center"/>
    </xf>
    <xf numFmtId="40" fontId="8" fillId="0" borderId="1" xfId="5" applyNumberFormat="1" applyFont="1" applyBorder="1" applyAlignment="1">
      <alignment horizontal="right"/>
    </xf>
    <xf numFmtId="40" fontId="2" fillId="0" borderId="1" xfId="5" applyNumberFormat="1" applyFont="1" applyBorder="1" applyAlignment="1">
      <alignment horizontal="right"/>
    </xf>
    <xf numFmtId="40" fontId="8" fillId="0" borderId="0" xfId="5" applyNumberFormat="1" applyFont="1" applyAlignment="1">
      <alignment horizontal="center"/>
    </xf>
    <xf numFmtId="40" fontId="26" fillId="0" borderId="0" xfId="5" applyNumberFormat="1" applyFont="1"/>
    <xf numFmtId="40" fontId="2" fillId="0" borderId="0" xfId="5" applyNumberFormat="1" applyFont="1"/>
    <xf numFmtId="49" fontId="2" fillId="0" borderId="0" xfId="5" applyNumberFormat="1" applyFont="1"/>
    <xf numFmtId="49" fontId="30" fillId="0" borderId="0" xfId="5" applyNumberFormat="1" applyFont="1"/>
    <xf numFmtId="0" fontId="31" fillId="0" borderId="0" xfId="5" applyFont="1" applyAlignment="1">
      <alignment horizontal="center"/>
    </xf>
    <xf numFmtId="40" fontId="30" fillId="0" borderId="1" xfId="5" applyNumberFormat="1" applyFont="1" applyBorder="1"/>
    <xf numFmtId="40" fontId="26" fillId="16" borderId="1" xfId="5" applyNumberFormat="1" applyFont="1" applyFill="1" applyBorder="1"/>
    <xf numFmtId="40" fontId="8" fillId="0" borderId="1" xfId="5" applyNumberFormat="1" applyFont="1" applyBorder="1" applyAlignment="1">
      <alignment horizontal="left"/>
    </xf>
    <xf numFmtId="40" fontId="26" fillId="0" borderId="1" xfId="5" applyNumberFormat="1" applyFont="1" applyBorder="1"/>
    <xf numFmtId="0" fontId="30" fillId="0" borderId="0" xfId="5" applyFont="1" applyAlignment="1">
      <alignment horizontal="left"/>
    </xf>
    <xf numFmtId="0" fontId="2" fillId="10" borderId="1" xfId="5" applyFont="1" applyFill="1" applyBorder="1"/>
    <xf numFmtId="49" fontId="26" fillId="16" borderId="0" xfId="5" applyNumberFormat="1" applyFont="1" applyFill="1"/>
    <xf numFmtId="49" fontId="6" fillId="16" borderId="0" xfId="5" applyNumberFormat="1" applyFont="1" applyFill="1" applyAlignment="1">
      <alignment horizontal="center"/>
    </xf>
    <xf numFmtId="40" fontId="8" fillId="0" borderId="1" xfId="5" applyNumberFormat="1" applyFont="1" applyBorder="1"/>
    <xf numFmtId="49" fontId="26" fillId="16" borderId="0" xfId="5" applyNumberFormat="1" applyFont="1" applyFill="1" applyAlignment="1">
      <alignment horizontal="center"/>
    </xf>
    <xf numFmtId="49" fontId="30" fillId="0" borderId="0" xfId="5" applyNumberFormat="1" applyFont="1" applyAlignment="1">
      <alignment horizontal="center"/>
    </xf>
    <xf numFmtId="0" fontId="26" fillId="0" borderId="0" xfId="5" applyFont="1"/>
    <xf numFmtId="0" fontId="6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0" fontId="30" fillId="0" borderId="0" xfId="5" applyFont="1"/>
    <xf numFmtId="49" fontId="30" fillId="16" borderId="0" xfId="5" applyNumberFormat="1" applyFont="1" applyFill="1"/>
    <xf numFmtId="49" fontId="26" fillId="6" borderId="0" xfId="5" applyNumberFormat="1" applyFont="1" applyFill="1"/>
    <xf numFmtId="49" fontId="30" fillId="6" borderId="0" xfId="5" applyNumberFormat="1" applyFont="1" applyFill="1"/>
    <xf numFmtId="49" fontId="6" fillId="6" borderId="0" xfId="5" applyNumberFormat="1" applyFont="1" applyFill="1" applyAlignment="1">
      <alignment horizontal="center"/>
    </xf>
    <xf numFmtId="40" fontId="26" fillId="6" borderId="1" xfId="5" applyNumberFormat="1" applyFont="1" applyFill="1" applyBorder="1"/>
    <xf numFmtId="0" fontId="2" fillId="18" borderId="1" xfId="5" applyFont="1" applyFill="1" applyBorder="1"/>
    <xf numFmtId="0" fontId="24" fillId="18" borderId="1" xfId="5" applyFont="1" applyFill="1" applyBorder="1" applyAlignment="1">
      <alignment horizontal="center"/>
    </xf>
    <xf numFmtId="0" fontId="8" fillId="18" borderId="1" xfId="5" applyFont="1" applyFill="1" applyBorder="1"/>
    <xf numFmtId="0" fontId="26" fillId="16" borderId="0" xfId="5" applyFont="1" applyFill="1"/>
    <xf numFmtId="0" fontId="6" fillId="16" borderId="0" xfId="5" applyFont="1" applyFill="1" applyAlignment="1">
      <alignment horizontal="center"/>
    </xf>
    <xf numFmtId="0" fontId="24" fillId="5" borderId="1" xfId="5" applyFont="1" applyFill="1" applyBorder="1" applyAlignment="1">
      <alignment horizontal="center"/>
    </xf>
    <xf numFmtId="0" fontId="30" fillId="6" borderId="0" xfId="5" applyFont="1" applyFill="1"/>
    <xf numFmtId="0" fontId="6" fillId="6" borderId="0" xfId="5" applyFont="1" applyFill="1" applyAlignment="1">
      <alignment horizontal="center"/>
    </xf>
    <xf numFmtId="40" fontId="31" fillId="0" borderId="0" xfId="5" applyNumberFormat="1" applyFont="1"/>
    <xf numFmtId="0" fontId="8" fillId="13" borderId="1" xfId="5" applyFont="1" applyFill="1" applyBorder="1"/>
    <xf numFmtId="0" fontId="2" fillId="6" borderId="1" xfId="5" applyFont="1" applyFill="1" applyBorder="1"/>
    <xf numFmtId="0" fontId="8" fillId="11" borderId="1" xfId="5" applyFont="1" applyFill="1" applyBorder="1"/>
    <xf numFmtId="0" fontId="2" fillId="11" borderId="1" xfId="5" applyFont="1" applyFill="1" applyBorder="1"/>
    <xf numFmtId="40" fontId="2" fillId="0" borderId="0" xfId="5" applyNumberFormat="1" applyFont="1" applyAlignment="1">
      <alignment horizontal="center"/>
    </xf>
    <xf numFmtId="0" fontId="8" fillId="0" borderId="0" xfId="1" applyFont="1" applyAlignment="1">
      <alignment wrapText="1"/>
    </xf>
    <xf numFmtId="171" fontId="8" fillId="0" borderId="0" xfId="1" applyNumberFormat="1" applyFont="1" applyAlignment="1">
      <alignment horizontal="right"/>
    </xf>
    <xf numFmtId="0" fontId="8" fillId="0" borderId="0" xfId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72" fontId="6" fillId="0" borderId="0" xfId="1" applyNumberFormat="1" applyFont="1" applyAlignment="1">
      <alignment horizontal="right"/>
    </xf>
    <xf numFmtId="173" fontId="13" fillId="0" borderId="0" xfId="1" applyNumberFormat="1" applyFont="1" applyAlignment="1">
      <alignment horizontal="right"/>
    </xf>
    <xf numFmtId="164" fontId="33" fillId="0" borderId="0" xfId="1" applyNumberFormat="1" applyFont="1" applyAlignment="1">
      <alignment horizontal="right"/>
    </xf>
    <xf numFmtId="167" fontId="8" fillId="0" borderId="0" xfId="5" applyNumberFormat="1" applyFont="1" applyAlignment="1">
      <alignment horizontal="left" wrapText="1"/>
    </xf>
    <xf numFmtId="171" fontId="8" fillId="0" borderId="0" xfId="5" applyNumberFormat="1" applyFont="1" applyAlignment="1">
      <alignment horizontal="left"/>
    </xf>
    <xf numFmtId="0" fontId="8" fillId="0" borderId="0" xfId="5" applyFont="1" applyAlignment="1">
      <alignment horizontal="left"/>
    </xf>
    <xf numFmtId="14" fontId="2" fillId="0" borderId="0" xfId="5" applyNumberFormat="1" applyFont="1" applyAlignment="1">
      <alignment horizontal="left" wrapText="1"/>
    </xf>
    <xf numFmtId="43" fontId="2" fillId="0" borderId="0" xfId="5" applyNumberFormat="1" applyFont="1"/>
    <xf numFmtId="173" fontId="2" fillId="0" borderId="0" xfId="5" applyNumberFormat="1" applyFont="1" applyAlignment="1">
      <alignment horizontal="center"/>
    </xf>
    <xf numFmtId="1" fontId="2" fillId="0" borderId="0" xfId="5" applyNumberFormat="1" applyFont="1" applyAlignment="1">
      <alignment horizontal="center"/>
    </xf>
    <xf numFmtId="167" fontId="33" fillId="0" borderId="0" xfId="5" applyNumberFormat="1" applyFont="1" applyAlignment="1">
      <alignment horizontal="center"/>
    </xf>
    <xf numFmtId="167" fontId="16" fillId="16" borderId="3" xfId="5" applyNumberFormat="1" applyFont="1" applyFill="1" applyBorder="1" applyAlignment="1">
      <alignment wrapText="1"/>
    </xf>
    <xf numFmtId="171" fontId="16" fillId="16" borderId="16" xfId="5" applyNumberFormat="1" applyFont="1" applyFill="1" applyBorder="1"/>
    <xf numFmtId="0" fontId="16" fillId="16" borderId="16" xfId="5" applyFont="1" applyFill="1" applyBorder="1"/>
    <xf numFmtId="0" fontId="16" fillId="16" borderId="4" xfId="5" applyFont="1" applyFill="1" applyBorder="1" applyAlignment="1">
      <alignment horizontal="center" wrapText="1"/>
    </xf>
    <xf numFmtId="0" fontId="4" fillId="16" borderId="4" xfId="5" applyFont="1" applyFill="1" applyBorder="1" applyAlignment="1">
      <alignment horizontal="right"/>
    </xf>
    <xf numFmtId="43" fontId="4" fillId="16" borderId="4" xfId="5" applyNumberFormat="1" applyFont="1" applyFill="1" applyBorder="1" applyAlignment="1">
      <alignment horizontal="right"/>
    </xf>
    <xf numFmtId="0" fontId="4" fillId="16" borderId="4" xfId="5" applyFont="1" applyFill="1" applyBorder="1" applyAlignment="1">
      <alignment horizontal="center"/>
    </xf>
    <xf numFmtId="173" fontId="16" fillId="16" borderId="4" xfId="5" applyNumberFormat="1" applyFont="1" applyFill="1" applyBorder="1" applyAlignment="1">
      <alignment horizontal="center"/>
    </xf>
    <xf numFmtId="40" fontId="16" fillId="16" borderId="4" xfId="5" applyNumberFormat="1" applyFont="1" applyFill="1" applyBorder="1" applyAlignment="1">
      <alignment horizontal="center"/>
    </xf>
    <xf numFmtId="1" fontId="16" fillId="16" borderId="4" xfId="5" applyNumberFormat="1" applyFont="1" applyFill="1" applyBorder="1" applyAlignment="1">
      <alignment horizontal="center"/>
    </xf>
    <xf numFmtId="167" fontId="35" fillId="16" borderId="5" xfId="5" applyNumberFormat="1" applyFont="1" applyFill="1" applyBorder="1" applyAlignment="1">
      <alignment horizontal="center"/>
    </xf>
    <xf numFmtId="167" fontId="2" fillId="9" borderId="6" xfId="5" applyNumberFormat="1" applyFont="1" applyFill="1" applyBorder="1" applyAlignment="1">
      <alignment horizontal="center" wrapText="1"/>
    </xf>
    <xf numFmtId="171" fontId="2" fillId="9" borderId="14" xfId="5" applyNumberFormat="1" applyFont="1" applyFill="1" applyBorder="1" applyAlignment="1">
      <alignment horizontal="center" wrapText="1"/>
    </xf>
    <xf numFmtId="0" fontId="8" fillId="9" borderId="14" xfId="5" applyFont="1" applyFill="1" applyBorder="1" applyAlignment="1">
      <alignment horizontal="center" wrapText="1"/>
    </xf>
    <xf numFmtId="167" fontId="2" fillId="9" borderId="1" xfId="5" applyNumberFormat="1" applyFont="1" applyFill="1" applyBorder="1" applyAlignment="1">
      <alignment horizontal="center" wrapText="1"/>
    </xf>
    <xf numFmtId="43" fontId="2" fillId="9" borderId="1" xfId="5" applyNumberFormat="1" applyFont="1" applyFill="1" applyBorder="1" applyAlignment="1">
      <alignment horizontal="center" wrapText="1"/>
    </xf>
    <xf numFmtId="0" fontId="2" fillId="9" borderId="1" xfId="5" applyFont="1" applyFill="1" applyBorder="1" applyAlignment="1">
      <alignment horizontal="center" wrapText="1"/>
    </xf>
    <xf numFmtId="40" fontId="2" fillId="9" borderId="1" xfId="5" applyNumberFormat="1" applyFont="1" applyFill="1" applyBorder="1" applyAlignment="1">
      <alignment horizontal="center" wrapText="1"/>
    </xf>
    <xf numFmtId="44" fontId="2" fillId="9" borderId="1" xfId="6" applyFont="1" applyFill="1" applyBorder="1" applyAlignment="1">
      <alignment horizontal="center" wrapText="1"/>
    </xf>
    <xf numFmtId="173" fontId="2" fillId="9" borderId="1" xfId="6" applyNumberFormat="1" applyFont="1" applyFill="1" applyBorder="1" applyAlignment="1">
      <alignment horizontal="center" wrapText="1"/>
    </xf>
    <xf numFmtId="40" fontId="2" fillId="9" borderId="1" xfId="6" applyNumberFormat="1" applyFont="1" applyFill="1" applyBorder="1" applyAlignment="1">
      <alignment horizontal="center" wrapText="1"/>
    </xf>
    <xf numFmtId="167" fontId="2" fillId="9" borderId="7" xfId="5" applyNumberFormat="1" applyFont="1" applyFill="1" applyBorder="1" applyAlignment="1">
      <alignment horizontal="center" wrapText="1"/>
    </xf>
    <xf numFmtId="167" fontId="8" fillId="0" borderId="6" xfId="5" applyNumberFormat="1" applyFont="1" applyBorder="1" applyAlignment="1">
      <alignment horizontal="center" wrapText="1"/>
    </xf>
    <xf numFmtId="171" fontId="8" fillId="0" borderId="14" xfId="5" applyNumberFormat="1" applyFont="1" applyBorder="1" applyAlignment="1">
      <alignment horizontal="center" wrapText="1"/>
    </xf>
    <xf numFmtId="0" fontId="8" fillId="0" borderId="13" xfId="5" applyFont="1" applyBorder="1" applyAlignment="1">
      <alignment horizontal="center" wrapText="1"/>
    </xf>
    <xf numFmtId="0" fontId="24" fillId="0" borderId="12" xfId="5" applyFont="1" applyBorder="1" applyAlignment="1">
      <alignment horizontal="center" wrapText="1"/>
    </xf>
    <xf numFmtId="43" fontId="8" fillId="9" borderId="12" xfId="5" applyNumberFormat="1" applyFont="1" applyFill="1" applyBorder="1" applyAlignment="1">
      <alignment horizontal="right"/>
    </xf>
    <xf numFmtId="44" fontId="8" fillId="9" borderId="12" xfId="5" applyNumberFormat="1" applyFont="1" applyFill="1" applyBorder="1" applyAlignment="1">
      <alignment horizontal="center"/>
    </xf>
    <xf numFmtId="40" fontId="8" fillId="0" borderId="12" xfId="5" applyNumberFormat="1" applyFont="1" applyBorder="1" applyAlignment="1">
      <alignment horizontal="center"/>
    </xf>
    <xf numFmtId="0" fontId="8" fillId="0" borderId="12" xfId="5" applyFont="1" applyBorder="1" applyAlignment="1">
      <alignment horizontal="center" wrapText="1"/>
    </xf>
    <xf numFmtId="173" fontId="8" fillId="0" borderId="12" xfId="5" applyNumberFormat="1" applyFont="1" applyBorder="1" applyAlignment="1">
      <alignment horizontal="center" wrapText="1"/>
    </xf>
    <xf numFmtId="40" fontId="8" fillId="0" borderId="12" xfId="5" applyNumberFormat="1" applyFont="1" applyBorder="1" applyAlignment="1">
      <alignment horizontal="center" wrapText="1"/>
    </xf>
    <xf numFmtId="167" fontId="24" fillId="0" borderId="12" xfId="5" applyNumberFormat="1" applyFont="1" applyBorder="1" applyAlignment="1">
      <alignment horizontal="center" wrapText="1"/>
    </xf>
    <xf numFmtId="167" fontId="33" fillId="0" borderId="11" xfId="5" applyNumberFormat="1" applyFont="1" applyBorder="1" applyAlignment="1">
      <alignment horizontal="center"/>
    </xf>
    <xf numFmtId="171" fontId="8" fillId="0" borderId="1" xfId="5" applyNumberFormat="1" applyFont="1" applyBorder="1" applyAlignment="1">
      <alignment horizontal="center" wrapText="1"/>
    </xf>
    <xf numFmtId="0" fontId="8" fillId="0" borderId="1" xfId="5" applyFont="1" applyBorder="1" applyAlignment="1">
      <alignment horizontal="center" wrapText="1"/>
    </xf>
    <xf numFmtId="0" fontId="24" fillId="0" borderId="1" xfId="5" applyFont="1" applyBorder="1" applyAlignment="1">
      <alignment horizontal="center" wrapText="1"/>
    </xf>
    <xf numFmtId="43" fontId="8" fillId="9" borderId="1" xfId="5" applyNumberFormat="1" applyFont="1" applyFill="1" applyBorder="1" applyAlignment="1">
      <alignment horizontal="right"/>
    </xf>
    <xf numFmtId="44" fontId="8" fillId="9" borderId="1" xfId="5" applyNumberFormat="1" applyFont="1" applyFill="1" applyBorder="1" applyAlignment="1">
      <alignment horizontal="center"/>
    </xf>
    <xf numFmtId="173" fontId="8" fillId="0" borderId="1" xfId="5" applyNumberFormat="1" applyFont="1" applyBorder="1" applyAlignment="1">
      <alignment horizontal="center" wrapText="1"/>
    </xf>
    <xf numFmtId="40" fontId="8" fillId="0" borderId="1" xfId="5" applyNumberFormat="1" applyFont="1" applyBorder="1" applyAlignment="1">
      <alignment horizontal="center" wrapText="1"/>
    </xf>
    <xf numFmtId="167" fontId="2" fillId="0" borderId="1" xfId="5" applyNumberFormat="1" applyFont="1" applyBorder="1" applyAlignment="1">
      <alignment horizontal="center" wrapText="1"/>
    </xf>
    <xf numFmtId="167" fontId="33" fillId="0" borderId="1" xfId="5" applyNumberFormat="1" applyFont="1" applyBorder="1" applyAlignment="1">
      <alignment horizontal="center"/>
    </xf>
    <xf numFmtId="40" fontId="8" fillId="11" borderId="1" xfId="5" applyNumberFormat="1" applyFont="1" applyFill="1" applyBorder="1" applyAlignment="1">
      <alignment horizontal="right"/>
    </xf>
    <xf numFmtId="40" fontId="8" fillId="0" borderId="1" xfId="7" applyNumberFormat="1" applyFont="1" applyBorder="1"/>
    <xf numFmtId="0" fontId="8" fillId="0" borderId="1" xfId="7" applyFont="1" applyBorder="1" applyAlignment="1">
      <alignment horizontal="center"/>
    </xf>
    <xf numFmtId="173" fontId="8" fillId="13" borderId="1" xfId="7" applyNumberFormat="1" applyFont="1" applyFill="1" applyBorder="1" applyAlignment="1">
      <alignment horizontal="center"/>
    </xf>
    <xf numFmtId="40" fontId="8" fillId="0" borderId="1" xfId="7" applyNumberFormat="1" applyFont="1" applyBorder="1" applyAlignment="1">
      <alignment horizontal="center"/>
    </xf>
    <xf numFmtId="40" fontId="8" fillId="9" borderId="12" xfId="5" applyNumberFormat="1" applyFont="1" applyFill="1" applyBorder="1"/>
    <xf numFmtId="40" fontId="8" fillId="0" borderId="12" xfId="5" applyNumberFormat="1" applyFont="1" applyBorder="1"/>
    <xf numFmtId="40" fontId="2" fillId="0" borderId="12" xfId="5" applyNumberFormat="1" applyFont="1" applyBorder="1" applyAlignment="1">
      <alignment horizontal="center" wrapText="1"/>
    </xf>
    <xf numFmtId="167" fontId="2" fillId="0" borderId="8" xfId="5" applyNumberFormat="1" applyFont="1" applyBorder="1" applyAlignment="1">
      <alignment horizontal="center" wrapText="1"/>
    </xf>
    <xf numFmtId="171" fontId="8" fillId="0" borderId="22" xfId="5" applyNumberFormat="1" applyFont="1" applyBorder="1" applyAlignment="1">
      <alignment horizontal="center" wrapText="1"/>
    </xf>
    <xf numFmtId="0" fontId="8" fillId="0" borderId="22" xfId="5" applyFont="1" applyBorder="1" applyAlignment="1">
      <alignment horizontal="center" wrapText="1"/>
    </xf>
    <xf numFmtId="0" fontId="8" fillId="0" borderId="9" xfId="5" applyFont="1" applyBorder="1" applyAlignment="1">
      <alignment horizontal="center" wrapText="1"/>
    </xf>
    <xf numFmtId="43" fontId="2" fillId="11" borderId="9" xfId="5" applyNumberFormat="1" applyFont="1" applyFill="1" applyBorder="1" applyAlignment="1">
      <alignment horizontal="center"/>
    </xf>
    <xf numFmtId="44" fontId="2" fillId="9" borderId="9" xfId="5" applyNumberFormat="1" applyFont="1" applyFill="1" applyBorder="1" applyAlignment="1">
      <alignment horizontal="center"/>
    </xf>
    <xf numFmtId="40" fontId="2" fillId="11" borderId="9" xfId="5" applyNumberFormat="1" applyFont="1" applyFill="1" applyBorder="1" applyAlignment="1">
      <alignment horizontal="right"/>
    </xf>
    <xf numFmtId="167" fontId="2" fillId="0" borderId="9" xfId="5" applyNumberFormat="1" applyFont="1" applyBorder="1" applyAlignment="1">
      <alignment horizontal="center"/>
    </xf>
    <xf numFmtId="173" fontId="8" fillId="0" borderId="9" xfId="5" applyNumberFormat="1" applyFont="1" applyBorder="1" applyAlignment="1">
      <alignment horizontal="center" wrapText="1"/>
    </xf>
    <xf numFmtId="40" fontId="2" fillId="11" borderId="9" xfId="5" applyNumberFormat="1" applyFont="1" applyFill="1" applyBorder="1" applyAlignment="1">
      <alignment horizontal="center" wrapText="1"/>
    </xf>
    <xf numFmtId="167" fontId="8" fillId="0" borderId="9" xfId="5" applyNumberFormat="1" applyFont="1" applyBorder="1" applyAlignment="1">
      <alignment horizontal="center" wrapText="1"/>
    </xf>
    <xf numFmtId="1" fontId="33" fillId="0" borderId="10" xfId="5" applyNumberFormat="1" applyFont="1" applyBorder="1" applyAlignment="1">
      <alignment horizontal="center" wrapText="1"/>
    </xf>
    <xf numFmtId="167" fontId="8" fillId="0" borderId="0" xfId="5" applyNumberFormat="1" applyFont="1" applyAlignment="1">
      <alignment horizontal="center" wrapText="1"/>
    </xf>
    <xf numFmtId="171" fontId="8" fillId="0" borderId="0" xfId="5" applyNumberFormat="1" applyFont="1" applyAlignment="1">
      <alignment horizontal="center" wrapText="1"/>
    </xf>
    <xf numFmtId="0" fontId="8" fillId="0" borderId="0" xfId="5" applyFont="1" applyAlignment="1">
      <alignment horizontal="center" wrapText="1"/>
    </xf>
    <xf numFmtId="0" fontId="2" fillId="0" borderId="0" xfId="5" applyFont="1" applyAlignment="1">
      <alignment horizontal="center" wrapText="1"/>
    </xf>
    <xf numFmtId="43" fontId="2" fillId="0" borderId="0" xfId="5" applyNumberFormat="1" applyFont="1" applyAlignment="1">
      <alignment horizontal="center"/>
    </xf>
    <xf numFmtId="44" fontId="2" fillId="0" borderId="0" xfId="5" applyNumberFormat="1" applyFont="1" applyAlignment="1">
      <alignment horizontal="center"/>
    </xf>
    <xf numFmtId="44" fontId="8" fillId="0" borderId="0" xfId="6" applyFont="1" applyBorder="1" applyAlignment="1">
      <alignment horizontal="center"/>
    </xf>
    <xf numFmtId="173" fontId="8" fillId="0" borderId="0" xfId="5" applyNumberFormat="1" applyFont="1" applyAlignment="1">
      <alignment horizontal="center"/>
    </xf>
    <xf numFmtId="1" fontId="8" fillId="0" borderId="0" xfId="8" applyNumberFormat="1" applyFont="1" applyBorder="1" applyAlignment="1">
      <alignment horizontal="center"/>
    </xf>
    <xf numFmtId="167" fontId="2" fillId="0" borderId="0" xfId="5" applyNumberFormat="1" applyFont="1" applyAlignment="1">
      <alignment horizontal="center"/>
    </xf>
    <xf numFmtId="44" fontId="8" fillId="0" borderId="0" xfId="6" applyFont="1" applyAlignment="1">
      <alignment horizontal="center"/>
    </xf>
    <xf numFmtId="167" fontId="16" fillId="16" borderId="3" xfId="5" applyNumberFormat="1" applyFont="1" applyFill="1" applyBorder="1" applyAlignment="1">
      <alignment horizontal="center" wrapText="1"/>
    </xf>
    <xf numFmtId="171" fontId="16" fillId="16" borderId="16" xfId="5" applyNumberFormat="1" applyFont="1" applyFill="1" applyBorder="1" applyAlignment="1">
      <alignment horizontal="center" wrapText="1"/>
    </xf>
    <xf numFmtId="0" fontId="16" fillId="16" borderId="16" xfId="5" applyFont="1" applyFill="1" applyBorder="1" applyAlignment="1">
      <alignment horizontal="center" wrapText="1"/>
    </xf>
    <xf numFmtId="173" fontId="2" fillId="9" borderId="1" xfId="5" applyNumberFormat="1" applyFont="1" applyFill="1" applyBorder="1" applyAlignment="1">
      <alignment horizontal="center" wrapText="1"/>
    </xf>
    <xf numFmtId="1" fontId="2" fillId="9" borderId="7" xfId="5" applyNumberFormat="1" applyFont="1" applyFill="1" applyBorder="1" applyAlignment="1">
      <alignment horizontal="center" wrapText="1"/>
    </xf>
    <xf numFmtId="0" fontId="8" fillId="0" borderId="14" xfId="5" applyFont="1" applyBorder="1" applyAlignment="1">
      <alignment horizontal="center" wrapText="1"/>
    </xf>
    <xf numFmtId="167" fontId="8" fillId="0" borderId="1" xfId="5" applyNumberFormat="1" applyFont="1" applyBorder="1" applyAlignment="1">
      <alignment horizontal="center" wrapText="1"/>
    </xf>
    <xf numFmtId="43" fontId="8" fillId="9" borderId="1" xfId="6" applyNumberFormat="1" applyFont="1" applyFill="1" applyBorder="1" applyAlignment="1">
      <alignment wrapText="1"/>
    </xf>
    <xf numFmtId="44" fontId="8" fillId="9" borderId="1" xfId="6" applyFont="1" applyFill="1" applyBorder="1" applyAlignment="1">
      <alignment wrapText="1"/>
    </xf>
    <xf numFmtId="40" fontId="8" fillId="0" borderId="1" xfId="6" applyNumberFormat="1" applyFont="1" applyFill="1" applyBorder="1" applyAlignment="1">
      <alignment wrapText="1"/>
    </xf>
    <xf numFmtId="1" fontId="8" fillId="0" borderId="1" xfId="5" quotePrefix="1" applyNumberFormat="1" applyFont="1" applyBorder="1" applyAlignment="1">
      <alignment horizontal="center" wrapText="1"/>
    </xf>
    <xf numFmtId="1" fontId="33" fillId="0" borderId="7" xfId="5" applyNumberFormat="1" applyFont="1" applyBorder="1" applyAlignment="1">
      <alignment horizontal="center" wrapText="1"/>
    </xf>
    <xf numFmtId="167" fontId="2" fillId="0" borderId="9" xfId="5" applyNumberFormat="1" applyFont="1" applyBorder="1" applyAlignment="1">
      <alignment horizontal="center" wrapText="1"/>
    </xf>
    <xf numFmtId="43" fontId="2" fillId="11" borderId="9" xfId="6" applyNumberFormat="1" applyFont="1" applyFill="1" applyBorder="1" applyAlignment="1"/>
    <xf numFmtId="44" fontId="2" fillId="9" borderId="9" xfId="6" applyFont="1" applyFill="1" applyBorder="1" applyAlignment="1"/>
    <xf numFmtId="40" fontId="2" fillId="0" borderId="9" xfId="6" applyNumberFormat="1" applyFont="1" applyFill="1" applyBorder="1" applyAlignment="1"/>
    <xf numFmtId="173" fontId="2" fillId="0" borderId="9" xfId="8" applyNumberFormat="1" applyFont="1" applyBorder="1" applyAlignment="1">
      <alignment horizontal="center"/>
    </xf>
    <xf numFmtId="40" fontId="2" fillId="0" borderId="9" xfId="8" applyNumberFormat="1" applyFont="1" applyBorder="1" applyAlignment="1">
      <alignment horizontal="center"/>
    </xf>
    <xf numFmtId="5" fontId="2" fillId="0" borderId="9" xfId="5" applyNumberFormat="1" applyFont="1" applyBorder="1" applyAlignment="1">
      <alignment horizontal="center"/>
    </xf>
    <xf numFmtId="1" fontId="33" fillId="0" borderId="10" xfId="5" applyNumberFormat="1" applyFont="1" applyBorder="1" applyAlignment="1">
      <alignment horizontal="center"/>
    </xf>
    <xf numFmtId="171" fontId="8" fillId="0" borderId="0" xfId="5" applyNumberFormat="1" applyFont="1" applyAlignment="1">
      <alignment horizontal="left" wrapText="1"/>
    </xf>
    <xf numFmtId="0" fontId="8" fillId="0" borderId="0" xfId="5" applyFont="1" applyAlignment="1">
      <alignment horizontal="left" wrapText="1"/>
    </xf>
    <xf numFmtId="0" fontId="2" fillId="0" borderId="0" xfId="5" applyFont="1" applyAlignment="1">
      <alignment horizontal="left" wrapText="1"/>
    </xf>
    <xf numFmtId="43" fontId="2" fillId="0" borderId="0" xfId="5" applyNumberFormat="1" applyFont="1" applyAlignment="1">
      <alignment horizontal="left" wrapText="1"/>
    </xf>
    <xf numFmtId="40" fontId="2" fillId="0" borderId="0" xfId="5" applyNumberFormat="1" applyFont="1" applyAlignment="1">
      <alignment horizontal="left" wrapText="1"/>
    </xf>
    <xf numFmtId="173" fontId="2" fillId="0" borderId="0" xfId="5" applyNumberFormat="1" applyFont="1" applyAlignment="1">
      <alignment horizontal="left" wrapText="1"/>
    </xf>
    <xf numFmtId="0" fontId="33" fillId="0" borderId="0" xfId="5" applyFont="1" applyAlignment="1">
      <alignment horizontal="left" wrapText="1"/>
    </xf>
    <xf numFmtId="0" fontId="4" fillId="16" borderId="4" xfId="5" applyFont="1" applyFill="1" applyBorder="1" applyAlignment="1">
      <alignment horizontal="center" wrapText="1"/>
    </xf>
    <xf numFmtId="173" fontId="4" fillId="16" borderId="4" xfId="5" applyNumberFormat="1" applyFont="1" applyFill="1" applyBorder="1" applyAlignment="1">
      <alignment horizontal="center" wrapText="1"/>
    </xf>
    <xf numFmtId="40" fontId="4" fillId="16" borderId="4" xfId="5" applyNumberFormat="1" applyFont="1" applyFill="1" applyBorder="1" applyAlignment="1">
      <alignment horizontal="center" wrapText="1"/>
    </xf>
    <xf numFmtId="1" fontId="4" fillId="16" borderId="4" xfId="5" applyNumberFormat="1" applyFont="1" applyFill="1" applyBorder="1" applyAlignment="1">
      <alignment horizontal="center"/>
    </xf>
    <xf numFmtId="44" fontId="8" fillId="0" borderId="1" xfId="6" applyFont="1" applyBorder="1" applyAlignment="1">
      <alignment horizontal="center" wrapText="1"/>
    </xf>
    <xf numFmtId="43" fontId="8" fillId="9" borderId="1" xfId="6" applyNumberFormat="1" applyFont="1" applyFill="1" applyBorder="1" applyAlignment="1">
      <alignment horizontal="center"/>
    </xf>
    <xf numFmtId="44" fontId="8" fillId="9" borderId="1" xfId="6" applyFont="1" applyFill="1" applyBorder="1" applyAlignment="1">
      <alignment horizontal="center"/>
    </xf>
    <xf numFmtId="40" fontId="8" fillId="0" borderId="1" xfId="6" applyNumberFormat="1" applyFont="1" applyFill="1" applyBorder="1" applyAlignment="1">
      <alignment horizontal="center"/>
    </xf>
    <xf numFmtId="10" fontId="8" fillId="0" borderId="1" xfId="5" quotePrefix="1" applyNumberFormat="1" applyFont="1" applyBorder="1" applyAlignment="1">
      <alignment horizontal="center"/>
    </xf>
    <xf numFmtId="173" fontId="8" fillId="0" borderId="1" xfId="8" applyNumberFormat="1" applyFont="1" applyFill="1" applyBorder="1" applyAlignment="1">
      <alignment horizontal="center" wrapText="1"/>
    </xf>
    <xf numFmtId="40" fontId="8" fillId="0" borderId="1" xfId="8" applyNumberFormat="1" applyFont="1" applyFill="1" applyBorder="1" applyAlignment="1">
      <alignment horizontal="center" wrapText="1"/>
    </xf>
    <xf numFmtId="0" fontId="33" fillId="0" borderId="7" xfId="5" applyFont="1" applyBorder="1" applyAlignment="1">
      <alignment horizontal="center" wrapText="1"/>
    </xf>
    <xf numFmtId="167" fontId="2" fillId="0" borderId="0" xfId="5" applyNumberFormat="1" applyFont="1" applyAlignment="1">
      <alignment horizontal="center" wrapText="1"/>
    </xf>
    <xf numFmtId="43" fontId="2" fillId="0" borderId="0" xfId="6" applyNumberFormat="1" applyFont="1" applyAlignment="1"/>
    <xf numFmtId="44" fontId="2" fillId="0" borderId="0" xfId="6" applyFont="1" applyAlignment="1"/>
    <xf numFmtId="40" fontId="2" fillId="0" borderId="0" xfId="6" applyNumberFormat="1" applyFont="1" applyFill="1" applyAlignment="1"/>
    <xf numFmtId="173" fontId="2" fillId="0" borderId="0" xfId="8" applyNumberFormat="1" applyFont="1" applyAlignment="1">
      <alignment horizontal="center"/>
    </xf>
    <xf numFmtId="40" fontId="2" fillId="0" borderId="0" xfId="8" applyNumberFormat="1" applyFont="1" applyAlignment="1">
      <alignment horizontal="center"/>
    </xf>
    <xf numFmtId="5" fontId="2" fillId="0" borderId="0" xfId="5" applyNumberFormat="1" applyFont="1" applyAlignment="1">
      <alignment horizontal="center"/>
    </xf>
    <xf numFmtId="1" fontId="33" fillId="0" borderId="0" xfId="5" applyNumberFormat="1" applyFont="1" applyAlignment="1">
      <alignment horizontal="center"/>
    </xf>
    <xf numFmtId="171" fontId="16" fillId="16" borderId="16" xfId="5" applyNumberFormat="1" applyFont="1" applyFill="1" applyBorder="1" applyAlignment="1">
      <alignment horizontal="center"/>
    </xf>
    <xf numFmtId="0" fontId="16" fillId="16" borderId="16" xfId="5" applyFont="1" applyFill="1" applyBorder="1" applyAlignment="1">
      <alignment horizontal="center"/>
    </xf>
    <xf numFmtId="0" fontId="16" fillId="16" borderId="4" xfId="5" applyFont="1" applyFill="1" applyBorder="1"/>
    <xf numFmtId="173" fontId="16" fillId="16" borderId="4" xfId="5" applyNumberFormat="1" applyFont="1" applyFill="1" applyBorder="1"/>
    <xf numFmtId="40" fontId="16" fillId="16" borderId="4" xfId="5" applyNumberFormat="1" applyFont="1" applyFill="1" applyBorder="1"/>
    <xf numFmtId="1" fontId="16" fillId="16" borderId="4" xfId="5" applyNumberFormat="1" applyFont="1" applyFill="1" applyBorder="1"/>
    <xf numFmtId="0" fontId="35" fillId="16" borderId="5" xfId="5" applyFont="1" applyFill="1" applyBorder="1" applyAlignment="1">
      <alignment horizontal="right"/>
    </xf>
    <xf numFmtId="173" fontId="2" fillId="0" borderId="9" xfId="8" applyNumberFormat="1" applyFont="1" applyFill="1" applyBorder="1" applyAlignment="1">
      <alignment horizontal="center"/>
    </xf>
    <xf numFmtId="40" fontId="2" fillId="0" borderId="9" xfId="8" applyNumberFormat="1" applyFont="1" applyFill="1" applyBorder="1" applyAlignment="1">
      <alignment horizontal="center"/>
    </xf>
    <xf numFmtId="44" fontId="2" fillId="0" borderId="0" xfId="6" applyFont="1" applyBorder="1" applyAlignment="1">
      <alignment horizontal="center"/>
    </xf>
    <xf numFmtId="0" fontId="2" fillId="0" borderId="0" xfId="5" applyFont="1" applyAlignment="1">
      <alignment horizontal="left"/>
    </xf>
    <xf numFmtId="171" fontId="8" fillId="0" borderId="0" xfId="5" applyNumberFormat="1" applyFont="1" applyAlignment="1">
      <alignment horizontal="center"/>
    </xf>
    <xf numFmtId="43" fontId="38" fillId="0" borderId="0" xfId="5" applyNumberFormat="1" applyFont="1"/>
    <xf numFmtId="173" fontId="8" fillId="0" borderId="0" xfId="5" applyNumberFormat="1" applyFont="1"/>
    <xf numFmtId="1" fontId="8" fillId="0" borderId="0" xfId="5" applyNumberFormat="1" applyFont="1"/>
    <xf numFmtId="0" fontId="33" fillId="0" borderId="0" xfId="5" applyFont="1" applyAlignment="1">
      <alignment horizontal="center"/>
    </xf>
    <xf numFmtId="40" fontId="2" fillId="0" borderId="0" xfId="5" applyNumberFormat="1" applyFont="1" applyAlignment="1">
      <alignment horizontal="right"/>
    </xf>
    <xf numFmtId="43" fontId="8" fillId="0" borderId="0" xfId="5" applyNumberFormat="1" applyFont="1"/>
    <xf numFmtId="171" fontId="16" fillId="16" borderId="4" xfId="5" applyNumberFormat="1" applyFont="1" applyFill="1" applyBorder="1" applyAlignment="1">
      <alignment horizontal="center"/>
    </xf>
    <xf numFmtId="0" fontId="16" fillId="16" borderId="4" xfId="5" applyFont="1" applyFill="1" applyBorder="1" applyAlignment="1">
      <alignment horizontal="center"/>
    </xf>
    <xf numFmtId="0" fontId="8" fillId="9" borderId="1" xfId="5" applyFont="1" applyFill="1" applyBorder="1" applyAlignment="1">
      <alignment horizontal="center" wrapText="1"/>
    </xf>
    <xf numFmtId="10" fontId="2" fillId="0" borderId="1" xfId="5" quotePrefix="1" applyNumberFormat="1" applyFont="1" applyBorder="1" applyAlignment="1">
      <alignment horizontal="center"/>
    </xf>
    <xf numFmtId="167" fontId="2" fillId="0" borderId="6" xfId="5" applyNumberFormat="1" applyFont="1" applyBorder="1" applyAlignment="1">
      <alignment horizontal="center" wrapText="1"/>
    </xf>
    <xf numFmtId="43" fontId="2" fillId="11" borderId="1" xfId="6" applyNumberFormat="1" applyFont="1" applyFill="1" applyBorder="1" applyAlignment="1"/>
    <xf numFmtId="40" fontId="2" fillId="0" borderId="1" xfId="6" applyNumberFormat="1" applyFont="1" applyFill="1" applyBorder="1" applyAlignment="1"/>
    <xf numFmtId="167" fontId="2" fillId="0" borderId="1" xfId="5" applyNumberFormat="1" applyFont="1" applyBorder="1" applyAlignment="1">
      <alignment horizontal="center"/>
    </xf>
    <xf numFmtId="173" fontId="2" fillId="0" borderId="1" xfId="8" applyNumberFormat="1" applyFont="1" applyFill="1" applyBorder="1" applyAlignment="1">
      <alignment horizontal="center"/>
    </xf>
    <xf numFmtId="40" fontId="2" fillId="0" borderId="1" xfId="8" applyNumberFormat="1" applyFont="1" applyFill="1" applyBorder="1" applyAlignment="1">
      <alignment horizontal="center"/>
    </xf>
    <xf numFmtId="5" fontId="2" fillId="0" borderId="1" xfId="5" applyNumberFormat="1" applyFont="1" applyBorder="1" applyAlignment="1">
      <alignment horizontal="center"/>
    </xf>
    <xf numFmtId="1" fontId="33" fillId="0" borderId="7" xfId="5" applyNumberFormat="1" applyFont="1" applyBorder="1" applyAlignment="1">
      <alignment horizontal="center"/>
    </xf>
    <xf numFmtId="44" fontId="8" fillId="0" borderId="1" xfId="6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/>
    </xf>
    <xf numFmtId="44" fontId="8" fillId="0" borderId="1" xfId="6" applyFont="1" applyFill="1" applyBorder="1" applyAlignment="1">
      <alignment horizontal="center"/>
    </xf>
    <xf numFmtId="167" fontId="6" fillId="16" borderId="8" xfId="5" applyNumberFormat="1" applyFont="1" applyFill="1" applyBorder="1" applyAlignment="1">
      <alignment horizontal="center" wrapText="1"/>
    </xf>
    <xf numFmtId="171" fontId="8" fillId="16" borderId="9" xfId="5" applyNumberFormat="1" applyFont="1" applyFill="1" applyBorder="1" applyAlignment="1">
      <alignment horizontal="center"/>
    </xf>
    <xf numFmtId="0" fontId="8" fillId="16" borderId="9" xfId="5" applyFont="1" applyFill="1" applyBorder="1" applyAlignment="1">
      <alignment horizontal="center"/>
    </xf>
    <xf numFmtId="0" fontId="6" fillId="16" borderId="9" xfId="5" applyFont="1" applyFill="1" applyBorder="1" applyAlignment="1">
      <alignment horizontal="left"/>
    </xf>
    <xf numFmtId="43" fontId="6" fillId="16" borderId="9" xfId="5" applyNumberFormat="1" applyFont="1" applyFill="1" applyBorder="1"/>
    <xf numFmtId="0" fontId="6" fillId="16" borderId="9" xfId="5" applyFont="1" applyFill="1" applyBorder="1"/>
    <xf numFmtId="40" fontId="6" fillId="16" borderId="9" xfId="5" applyNumberFormat="1" applyFont="1" applyFill="1" applyBorder="1"/>
    <xf numFmtId="173" fontId="6" fillId="16" borderId="9" xfId="5" applyNumberFormat="1" applyFont="1" applyFill="1" applyBorder="1"/>
    <xf numFmtId="1" fontId="6" fillId="16" borderId="9" xfId="5" applyNumberFormat="1" applyFont="1" applyFill="1" applyBorder="1"/>
    <xf numFmtId="0" fontId="33" fillId="16" borderId="10" xfId="5" applyFont="1" applyFill="1" applyBorder="1" applyAlignment="1">
      <alignment horizontal="center"/>
    </xf>
    <xf numFmtId="43" fontId="8" fillId="0" borderId="0" xfId="6" applyNumberFormat="1" applyFont="1" applyAlignment="1"/>
    <xf numFmtId="44" fontId="8" fillId="0" borderId="0" xfId="6" applyFont="1" applyAlignment="1"/>
    <xf numFmtId="40" fontId="8" fillId="0" borderId="0" xfId="6" applyNumberFormat="1" applyFont="1" applyFill="1" applyAlignment="1"/>
    <xf numFmtId="173" fontId="2" fillId="0" borderId="0" xfId="5" applyNumberFormat="1" applyFont="1"/>
    <xf numFmtId="40" fontId="39" fillId="0" borderId="0" xfId="5" applyNumberFormat="1" applyFont="1" applyAlignment="1">
      <alignment horizontal="center"/>
    </xf>
    <xf numFmtId="40" fontId="39" fillId="0" borderId="0" xfId="5" applyNumberFormat="1" applyFont="1"/>
    <xf numFmtId="170" fontId="33" fillId="0" borderId="0" xfId="5" applyNumberFormat="1" applyFont="1"/>
    <xf numFmtId="43" fontId="8" fillId="0" borderId="0" xfId="6" applyNumberFormat="1" applyFont="1" applyBorder="1" applyAlignment="1"/>
    <xf numFmtId="44" fontId="8" fillId="0" borderId="0" xfId="6" applyFont="1" applyBorder="1" applyAlignment="1"/>
    <xf numFmtId="40" fontId="8" fillId="0" borderId="0" xfId="6" applyNumberFormat="1" applyFont="1" applyFill="1" applyBorder="1" applyAlignment="1"/>
    <xf numFmtId="167" fontId="4" fillId="20" borderId="17" xfId="5" applyNumberFormat="1" applyFont="1" applyFill="1" applyBorder="1" applyAlignment="1">
      <alignment horizontal="left"/>
    </xf>
    <xf numFmtId="171" fontId="16" fillId="20" borderId="26" xfId="5" applyNumberFormat="1" applyFont="1" applyFill="1" applyBorder="1" applyAlignment="1">
      <alignment horizontal="left"/>
    </xf>
    <xf numFmtId="0" fontId="16" fillId="20" borderId="26" xfId="5" applyFont="1" applyFill="1" applyBorder="1" applyAlignment="1">
      <alignment horizontal="left"/>
    </xf>
    <xf numFmtId="44" fontId="4" fillId="20" borderId="18" xfId="6" applyFont="1" applyFill="1" applyBorder="1" applyAlignment="1">
      <alignment horizontal="center" wrapText="1"/>
    </xf>
    <xf numFmtId="43" fontId="4" fillId="20" borderId="18" xfId="5" applyNumberFormat="1" applyFont="1" applyFill="1" applyBorder="1" applyAlignment="1">
      <alignment horizontal="center"/>
    </xf>
    <xf numFmtId="0" fontId="4" fillId="20" borderId="19" xfId="5" applyFont="1" applyFill="1" applyBorder="1" applyAlignment="1">
      <alignment horizontal="center"/>
    </xf>
    <xf numFmtId="40" fontId="4" fillId="0" borderId="0" xfId="5" applyNumberFormat="1" applyFont="1" applyAlignment="1">
      <alignment horizontal="center"/>
    </xf>
    <xf numFmtId="167" fontId="2" fillId="7" borderId="27" xfId="5" applyNumberFormat="1" applyFont="1" applyFill="1" applyBorder="1" applyAlignment="1">
      <alignment horizontal="left"/>
    </xf>
    <xf numFmtId="171" fontId="8" fillId="7" borderId="28" xfId="5" applyNumberFormat="1" applyFont="1" applyFill="1" applyBorder="1" applyAlignment="1">
      <alignment horizontal="left"/>
    </xf>
    <xf numFmtId="0" fontId="8" fillId="7" borderId="28" xfId="5" applyFont="1" applyFill="1" applyBorder="1" applyAlignment="1">
      <alignment horizontal="left"/>
    </xf>
    <xf numFmtId="44" fontId="2" fillId="7" borderId="15" xfId="6" applyFont="1" applyFill="1" applyBorder="1" applyAlignment="1">
      <alignment horizontal="center" wrapText="1"/>
    </xf>
    <xf numFmtId="43" fontId="2" fillId="7" borderId="15" xfId="5" applyNumberFormat="1" applyFont="1" applyFill="1" applyBorder="1" applyAlignment="1">
      <alignment horizontal="center"/>
    </xf>
    <xf numFmtId="0" fontId="2" fillId="7" borderId="29" xfId="5" applyFont="1" applyFill="1" applyBorder="1" applyAlignment="1">
      <alignment horizontal="center"/>
    </xf>
    <xf numFmtId="167" fontId="8" fillId="7" borderId="20" xfId="5" applyNumberFormat="1" applyFont="1" applyFill="1" applyBorder="1" applyAlignment="1">
      <alignment horizontal="left"/>
    </xf>
    <xf numFmtId="171" fontId="8" fillId="7" borderId="14" xfId="5" applyNumberFormat="1" applyFont="1" applyFill="1" applyBorder="1" applyAlignment="1">
      <alignment horizontal="left"/>
    </xf>
    <xf numFmtId="0" fontId="8" fillId="7" borderId="14" xfId="5" applyFont="1" applyFill="1" applyBorder="1" applyAlignment="1">
      <alignment horizontal="left"/>
    </xf>
    <xf numFmtId="44" fontId="8" fillId="7" borderId="1" xfId="6" applyFont="1" applyFill="1" applyBorder="1" applyAlignment="1">
      <alignment horizontal="center" wrapText="1"/>
    </xf>
    <xf numFmtId="43" fontId="2" fillId="7" borderId="1" xfId="5" applyNumberFormat="1" applyFont="1" applyFill="1" applyBorder="1" applyAlignment="1">
      <alignment horizontal="center"/>
    </xf>
    <xf numFmtId="0" fontId="8" fillId="7" borderId="21" xfId="5" applyFont="1" applyFill="1" applyBorder="1" applyAlignment="1">
      <alignment horizontal="center"/>
    </xf>
    <xf numFmtId="43" fontId="8" fillId="7" borderId="1" xfId="5" applyNumberFormat="1" applyFont="1" applyFill="1" applyBorder="1" applyAlignment="1">
      <alignment horizontal="center"/>
    </xf>
    <xf numFmtId="167" fontId="2" fillId="7" borderId="20" xfId="5" applyNumberFormat="1" applyFont="1" applyFill="1" applyBorder="1" applyAlignment="1">
      <alignment horizontal="left"/>
    </xf>
    <xf numFmtId="44" fontId="2" fillId="7" borderId="1" xfId="6" applyFont="1" applyFill="1" applyBorder="1" applyAlignment="1">
      <alignment horizontal="center" wrapText="1"/>
    </xf>
    <xf numFmtId="0" fontId="2" fillId="7" borderId="21" xfId="5" applyFont="1" applyFill="1" applyBorder="1" applyAlignment="1">
      <alignment horizontal="center"/>
    </xf>
    <xf numFmtId="167" fontId="8" fillId="7" borderId="23" xfId="5" applyNumberFormat="1" applyFont="1" applyFill="1" applyBorder="1" applyAlignment="1">
      <alignment horizontal="left" wrapText="1"/>
    </xf>
    <xf numFmtId="171" fontId="8" fillId="7" borderId="30" xfId="5" applyNumberFormat="1" applyFont="1" applyFill="1" applyBorder="1" applyAlignment="1">
      <alignment horizontal="left"/>
    </xf>
    <xf numFmtId="0" fontId="8" fillId="7" borderId="30" xfId="5" applyFont="1" applyFill="1" applyBorder="1" applyAlignment="1">
      <alignment horizontal="left"/>
    </xf>
    <xf numFmtId="44" fontId="8" fillId="7" borderId="24" xfId="6" applyFont="1" applyFill="1" applyBorder="1" applyAlignment="1">
      <alignment horizontal="center" wrapText="1"/>
    </xf>
    <xf numFmtId="43" fontId="2" fillId="7" borderId="24" xfId="5" applyNumberFormat="1" applyFont="1" applyFill="1" applyBorder="1" applyAlignment="1">
      <alignment horizontal="center"/>
    </xf>
    <xf numFmtId="0" fontId="8" fillId="7" borderId="25" xfId="5" applyFont="1" applyFill="1" applyBorder="1" applyAlignment="1">
      <alignment horizontal="center"/>
    </xf>
    <xf numFmtId="0" fontId="18" fillId="0" borderId="0" xfId="5" applyFont="1"/>
    <xf numFmtId="0" fontId="18" fillId="0" borderId="0" xfId="5" applyFont="1" applyAlignment="1">
      <alignment horizontal="center"/>
    </xf>
    <xf numFmtId="43" fontId="31" fillId="0" borderId="0" xfId="6" applyNumberFormat="1" applyFont="1" applyBorder="1" applyAlignment="1"/>
    <xf numFmtId="0" fontId="2" fillId="7" borderId="27" xfId="5" applyFont="1" applyFill="1" applyBorder="1" applyAlignment="1">
      <alignment horizontal="center"/>
    </xf>
    <xf numFmtId="171" fontId="8" fillId="7" borderId="28" xfId="5" applyNumberFormat="1" applyFont="1" applyFill="1" applyBorder="1" applyAlignment="1">
      <alignment horizontal="center"/>
    </xf>
    <xf numFmtId="0" fontId="8" fillId="7" borderId="28" xfId="5" applyFont="1" applyFill="1" applyBorder="1" applyAlignment="1">
      <alignment horizontal="center"/>
    </xf>
    <xf numFmtId="0" fontId="2" fillId="7" borderId="15" xfId="5" applyFont="1" applyFill="1" applyBorder="1" applyAlignment="1">
      <alignment horizontal="center"/>
    </xf>
    <xf numFmtId="0" fontId="8" fillId="7" borderId="20" xfId="5" applyFont="1" applyFill="1" applyBorder="1" applyAlignment="1">
      <alignment horizontal="left"/>
    </xf>
    <xf numFmtId="0" fontId="2" fillId="7" borderId="1" xfId="5" applyFont="1" applyFill="1" applyBorder="1"/>
    <xf numFmtId="43" fontId="8" fillId="7" borderId="1" xfId="9" applyFont="1" applyFill="1" applyBorder="1" applyAlignment="1"/>
    <xf numFmtId="43" fontId="8" fillId="7" borderId="21" xfId="9" applyFont="1" applyFill="1" applyBorder="1" applyAlignment="1"/>
    <xf numFmtId="40" fontId="8" fillId="0" borderId="0" xfId="9" applyNumberFormat="1" applyFont="1" applyFill="1" applyBorder="1" applyAlignment="1"/>
    <xf numFmtId="0" fontId="8" fillId="7" borderId="31" xfId="5" applyFont="1" applyFill="1" applyBorder="1" applyAlignment="1">
      <alignment horizontal="left"/>
    </xf>
    <xf numFmtId="171" fontId="8" fillId="7" borderId="13" xfId="5" applyNumberFormat="1" applyFont="1" applyFill="1" applyBorder="1" applyAlignment="1">
      <alignment horizontal="left"/>
    </xf>
    <xf numFmtId="0" fontId="8" fillId="7" borderId="13" xfId="5" applyFont="1" applyFill="1" applyBorder="1" applyAlignment="1">
      <alignment horizontal="left"/>
    </xf>
    <xf numFmtId="0" fontId="2" fillId="7" borderId="12" xfId="5" applyFont="1" applyFill="1" applyBorder="1"/>
    <xf numFmtId="43" fontId="8" fillId="7" borderId="32" xfId="9" applyFont="1" applyFill="1" applyBorder="1" applyAlignment="1"/>
    <xf numFmtId="43" fontId="2" fillId="7" borderId="1" xfId="9" applyFont="1" applyFill="1" applyBorder="1" applyAlignment="1"/>
    <xf numFmtId="0" fontId="8" fillId="7" borderId="23" xfId="5" applyFont="1" applyFill="1" applyBorder="1" applyAlignment="1">
      <alignment horizontal="left" wrapText="1"/>
    </xf>
    <xf numFmtId="0" fontId="2" fillId="7" borderId="24" xfId="5" applyFont="1" applyFill="1" applyBorder="1" applyAlignment="1">
      <alignment wrapText="1"/>
    </xf>
    <xf numFmtId="43" fontId="8" fillId="7" borderId="24" xfId="9" applyFont="1" applyFill="1" applyBorder="1" applyAlignment="1"/>
    <xf numFmtId="43" fontId="2" fillId="7" borderId="25" xfId="9" applyFont="1" applyFill="1" applyBorder="1" applyAlignment="1"/>
    <xf numFmtId="43" fontId="31" fillId="0" borderId="0" xfId="6" applyNumberFormat="1" applyFont="1" applyAlignment="1"/>
    <xf numFmtId="40" fontId="2" fillId="0" borderId="0" xfId="9" applyNumberFormat="1" applyFont="1" applyFill="1" applyBorder="1" applyAlignment="1"/>
    <xf numFmtId="0" fontId="33" fillId="0" borderId="0" xfId="5" applyFont="1"/>
    <xf numFmtId="0" fontId="2" fillId="0" borderId="0" xfId="5" applyFont="1" applyAlignment="1">
      <alignment horizontal="right"/>
    </xf>
    <xf numFmtId="43" fontId="2" fillId="0" borderId="0" xfId="5" applyNumberFormat="1" applyFont="1" applyAlignment="1">
      <alignment horizontal="right"/>
    </xf>
    <xf numFmtId="0" fontId="2" fillId="0" borderId="0" xfId="5" applyFont="1" applyAlignment="1">
      <alignment wrapText="1"/>
    </xf>
    <xf numFmtId="171" fontId="8" fillId="0" borderId="0" xfId="5" applyNumberFormat="1" applyFont="1"/>
    <xf numFmtId="43" fontId="2" fillId="0" borderId="0" xfId="9" applyFont="1" applyFill="1" applyBorder="1" applyAlignment="1"/>
    <xf numFmtId="0" fontId="24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10" fontId="8" fillId="0" borderId="0" xfId="1" applyNumberFormat="1" applyFont="1" applyAlignment="1">
      <alignment horizontal="right"/>
    </xf>
    <xf numFmtId="10" fontId="24" fillId="0" borderId="0" xfId="1" applyNumberFormat="1" applyFont="1" applyAlignment="1">
      <alignment horizontal="center"/>
    </xf>
    <xf numFmtId="0" fontId="25" fillId="10" borderId="0" xfId="1" applyFont="1" applyFill="1" applyAlignment="1">
      <alignment horizontal="center"/>
    </xf>
    <xf numFmtId="0" fontId="41" fillId="10" borderId="0" xfId="1" applyFont="1" applyFill="1" applyAlignment="1">
      <alignment horizontal="center"/>
    </xf>
    <xf numFmtId="0" fontId="22" fillId="11" borderId="0" xfId="1" applyFont="1" applyFill="1" applyAlignment="1">
      <alignment horizontal="center"/>
    </xf>
    <xf numFmtId="0" fontId="42" fillId="11" borderId="0" xfId="1" applyFont="1" applyFill="1" applyAlignment="1">
      <alignment horizontal="center"/>
    </xf>
    <xf numFmtId="165" fontId="17" fillId="11" borderId="0" xfId="1" applyNumberFormat="1" applyFont="1" applyFill="1" applyAlignment="1">
      <alignment horizontal="left"/>
    </xf>
    <xf numFmtId="0" fontId="32" fillId="21" borderId="1" xfId="5" applyFont="1" applyFill="1" applyBorder="1" applyAlignment="1">
      <alignment horizontal="center"/>
    </xf>
    <xf numFmtId="0" fontId="4" fillId="21" borderId="1" xfId="5" applyFont="1" applyFill="1" applyBorder="1" applyAlignment="1">
      <alignment wrapText="1"/>
    </xf>
    <xf numFmtId="0" fontId="13" fillId="21" borderId="1" xfId="5" applyFont="1" applyFill="1" applyBorder="1" applyAlignment="1">
      <alignment horizontal="center" wrapText="1"/>
    </xf>
    <xf numFmtId="164" fontId="2" fillId="21" borderId="1" xfId="5" applyNumberFormat="1" applyFont="1" applyFill="1" applyBorder="1" applyAlignment="1">
      <alignment horizontal="center" wrapText="1"/>
    </xf>
    <xf numFmtId="164" fontId="2" fillId="0" borderId="0" xfId="5" applyNumberFormat="1" applyFont="1"/>
    <xf numFmtId="0" fontId="32" fillId="0" borderId="1" xfId="5" applyFont="1" applyBorder="1" applyAlignment="1">
      <alignment horizontal="center" wrapText="1"/>
    </xf>
    <xf numFmtId="0" fontId="8" fillId="0" borderId="1" xfId="5" applyFont="1" applyBorder="1" applyAlignment="1">
      <alignment wrapText="1"/>
    </xf>
    <xf numFmtId="0" fontId="13" fillId="0" borderId="1" xfId="5" applyFont="1" applyBorder="1" applyAlignment="1">
      <alignment horizontal="center" wrapText="1"/>
    </xf>
    <xf numFmtId="164" fontId="8" fillId="0" borderId="1" xfId="5" applyNumberFormat="1" applyFont="1" applyBorder="1"/>
    <xf numFmtId="164" fontId="2" fillId="0" borderId="1" xfId="5" applyNumberFormat="1" applyFont="1" applyBorder="1"/>
    <xf numFmtId="164" fontId="43" fillId="0" borderId="1" xfId="5" applyNumberFormat="1" applyFont="1" applyBorder="1"/>
    <xf numFmtId="0" fontId="43" fillId="0" borderId="1" xfId="5" applyFont="1" applyBorder="1" applyAlignment="1">
      <alignment wrapText="1"/>
    </xf>
    <xf numFmtId="0" fontId="32" fillId="7" borderId="1" xfId="5" applyFont="1" applyFill="1" applyBorder="1" applyAlignment="1">
      <alignment horizontal="center" wrapText="1"/>
    </xf>
    <xf numFmtId="0" fontId="2" fillId="7" borderId="1" xfId="5" applyFont="1" applyFill="1" applyBorder="1" applyAlignment="1">
      <alignment wrapText="1"/>
    </xf>
    <xf numFmtId="0" fontId="13" fillId="7" borderId="1" xfId="5" applyFont="1" applyFill="1" applyBorder="1" applyAlignment="1">
      <alignment horizontal="center" wrapText="1"/>
    </xf>
    <xf numFmtId="164" fontId="12" fillId="7" borderId="1" xfId="5" applyNumberFormat="1" applyFont="1" applyFill="1" applyBorder="1"/>
    <xf numFmtId="164" fontId="43" fillId="7" borderId="1" xfId="5" applyNumberFormat="1" applyFont="1" applyFill="1" applyBorder="1"/>
    <xf numFmtId="0" fontId="32" fillId="11" borderId="1" xfId="5" applyFont="1" applyFill="1" applyBorder="1" applyAlignment="1">
      <alignment horizontal="center"/>
    </xf>
    <xf numFmtId="0" fontId="2" fillId="11" borderId="1" xfId="5" applyFont="1" applyFill="1" applyBorder="1" applyAlignment="1">
      <alignment wrapText="1"/>
    </xf>
    <xf numFmtId="0" fontId="13" fillId="11" borderId="1" xfId="5" applyFont="1" applyFill="1" applyBorder="1" applyAlignment="1">
      <alignment horizontal="center" wrapText="1"/>
    </xf>
    <xf numFmtId="164" fontId="2" fillId="11" borderId="1" xfId="5" applyNumberFormat="1" applyFont="1" applyFill="1" applyBorder="1"/>
    <xf numFmtId="0" fontId="32" fillId="0" borderId="1" xfId="5" applyFont="1" applyBorder="1" applyAlignment="1">
      <alignment horizontal="center"/>
    </xf>
    <xf numFmtId="49" fontId="2" fillId="0" borderId="1" xfId="5" applyNumberFormat="1" applyFont="1" applyBorder="1" applyAlignment="1">
      <alignment wrapText="1"/>
    </xf>
    <xf numFmtId="49" fontId="13" fillId="0" borderId="1" xfId="5" applyNumberFormat="1" applyFont="1" applyBorder="1" applyAlignment="1">
      <alignment horizontal="center" wrapText="1"/>
    </xf>
    <xf numFmtId="164" fontId="2" fillId="0" borderId="1" xfId="5" applyNumberFormat="1" applyFont="1" applyBorder="1" applyAlignment="1">
      <alignment horizontal="center" wrapText="1"/>
    </xf>
    <xf numFmtId="164" fontId="24" fillId="0" borderId="1" xfId="5" applyNumberFormat="1" applyFont="1" applyBorder="1" applyAlignment="1">
      <alignment horizontal="center" wrapText="1"/>
    </xf>
    <xf numFmtId="0" fontId="32" fillId="4" borderId="1" xfId="5" applyFont="1" applyFill="1" applyBorder="1" applyAlignment="1">
      <alignment horizontal="center"/>
    </xf>
    <xf numFmtId="0" fontId="4" fillId="4" borderId="1" xfId="5" applyFont="1" applyFill="1" applyBorder="1" applyAlignment="1">
      <alignment wrapText="1"/>
    </xf>
    <xf numFmtId="0" fontId="13" fillId="4" borderId="1" xfId="5" applyFont="1" applyFill="1" applyBorder="1" applyAlignment="1">
      <alignment horizontal="center" wrapText="1"/>
    </xf>
    <xf numFmtId="164" fontId="2" fillId="4" borderId="1" xfId="5" applyNumberFormat="1" applyFont="1" applyFill="1" applyBorder="1"/>
    <xf numFmtId="164" fontId="2" fillId="4" borderId="1" xfId="5" applyNumberFormat="1" applyFont="1" applyFill="1" applyBorder="1" applyAlignment="1">
      <alignment horizontal="right"/>
    </xf>
    <xf numFmtId="167" fontId="2" fillId="4" borderId="1" xfId="5" applyNumberFormat="1" applyFont="1" applyFill="1" applyBorder="1" applyAlignment="1">
      <alignment horizontal="center"/>
    </xf>
    <xf numFmtId="164" fontId="2" fillId="16" borderId="1" xfId="5" applyNumberFormat="1" applyFont="1" applyFill="1" applyBorder="1" applyAlignment="1">
      <alignment horizontal="center" wrapText="1"/>
    </xf>
    <xf numFmtId="164" fontId="2" fillId="16" borderId="1" xfId="5" applyNumberFormat="1" applyFont="1" applyFill="1" applyBorder="1" applyAlignment="1">
      <alignment horizontal="center"/>
    </xf>
    <xf numFmtId="0" fontId="32" fillId="10" borderId="1" xfId="5" applyFont="1" applyFill="1" applyBorder="1" applyAlignment="1">
      <alignment horizontal="center"/>
    </xf>
    <xf numFmtId="0" fontId="2" fillId="10" borderId="1" xfId="5" applyFont="1" applyFill="1" applyBorder="1" applyAlignment="1">
      <alignment wrapText="1"/>
    </xf>
    <xf numFmtId="0" fontId="13" fillId="10" borderId="1" xfId="5" applyFont="1" applyFill="1" applyBorder="1" applyAlignment="1">
      <alignment horizontal="center" wrapText="1"/>
    </xf>
    <xf numFmtId="164" fontId="2" fillId="10" borderId="1" xfId="5" applyNumberFormat="1" applyFont="1" applyFill="1" applyBorder="1"/>
    <xf numFmtId="0" fontId="8" fillId="0" borderId="1" xfId="5" applyFont="1" applyBorder="1"/>
    <xf numFmtId="0" fontId="2" fillId="0" borderId="1" xfId="5" applyFont="1" applyBorder="1" applyAlignment="1">
      <alignment wrapText="1"/>
    </xf>
    <xf numFmtId="0" fontId="32" fillId="6" borderId="1" xfId="5" applyFont="1" applyFill="1" applyBorder="1" applyAlignment="1">
      <alignment horizontal="center" wrapText="1"/>
    </xf>
    <xf numFmtId="0" fontId="2" fillId="6" borderId="1" xfId="5" applyFont="1" applyFill="1" applyBorder="1" applyAlignment="1">
      <alignment wrapText="1"/>
    </xf>
    <xf numFmtId="0" fontId="13" fillId="6" borderId="1" xfId="5" applyFont="1" applyFill="1" applyBorder="1" applyAlignment="1">
      <alignment horizontal="center" wrapText="1"/>
    </xf>
    <xf numFmtId="164" fontId="2" fillId="6" borderId="1" xfId="5" applyNumberFormat="1" applyFont="1" applyFill="1" applyBorder="1"/>
    <xf numFmtId="0" fontId="32" fillId="6" borderId="1" xfId="5" applyFont="1" applyFill="1" applyBorder="1" applyAlignment="1">
      <alignment horizontal="center"/>
    </xf>
    <xf numFmtId="0" fontId="12" fillId="6" borderId="1" xfId="5" applyFont="1" applyFill="1" applyBorder="1" applyAlignment="1">
      <alignment horizontal="center" wrapText="1"/>
    </xf>
    <xf numFmtId="164" fontId="24" fillId="0" borderId="1" xfId="5" applyNumberFormat="1" applyFont="1" applyBorder="1" applyAlignment="1">
      <alignment horizontal="center"/>
    </xf>
    <xf numFmtId="0" fontId="32" fillId="12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wrapText="1"/>
    </xf>
    <xf numFmtId="0" fontId="13" fillId="12" borderId="1" xfId="5" applyFont="1" applyFill="1" applyBorder="1" applyAlignment="1">
      <alignment horizontal="center" wrapText="1"/>
    </xf>
    <xf numFmtId="164" fontId="2" fillId="12" borderId="1" xfId="5" applyNumberFormat="1" applyFont="1" applyFill="1" applyBorder="1"/>
    <xf numFmtId="164" fontId="24" fillId="4" borderId="1" xfId="5" applyNumberFormat="1" applyFont="1" applyFill="1" applyBorder="1" applyAlignment="1">
      <alignment horizontal="center"/>
    </xf>
    <xf numFmtId="0" fontId="32" fillId="17" borderId="1" xfId="5" applyFont="1" applyFill="1" applyBorder="1" applyAlignment="1">
      <alignment horizontal="center"/>
    </xf>
    <xf numFmtId="0" fontId="2" fillId="17" borderId="1" xfId="5" applyFont="1" applyFill="1" applyBorder="1" applyAlignment="1">
      <alignment wrapText="1"/>
    </xf>
    <xf numFmtId="0" fontId="13" fillId="17" borderId="1" xfId="5" applyFont="1" applyFill="1" applyBorder="1" applyAlignment="1">
      <alignment horizontal="center" wrapText="1"/>
    </xf>
    <xf numFmtId="164" fontId="2" fillId="17" borderId="1" xfId="5" applyNumberFormat="1" applyFont="1" applyFill="1" applyBorder="1"/>
    <xf numFmtId="164" fontId="24" fillId="17" borderId="1" xfId="5" applyNumberFormat="1" applyFont="1" applyFill="1" applyBorder="1" applyAlignment="1">
      <alignment horizontal="center"/>
    </xf>
    <xf numFmtId="0" fontId="4" fillId="4" borderId="1" xfId="5" applyFont="1" applyFill="1" applyBorder="1"/>
    <xf numFmtId="0" fontId="13" fillId="4" borderId="1" xfId="5" applyFont="1" applyFill="1" applyBorder="1" applyAlignment="1">
      <alignment horizontal="center"/>
    </xf>
    <xf numFmtId="0" fontId="32" fillId="5" borderId="1" xfId="5" applyFont="1" applyFill="1" applyBorder="1" applyAlignment="1">
      <alignment horizontal="center"/>
    </xf>
    <xf numFmtId="0" fontId="2" fillId="5" borderId="1" xfId="5" applyFont="1" applyFill="1" applyBorder="1" applyAlignment="1">
      <alignment wrapText="1"/>
    </xf>
    <xf numFmtId="0" fontId="13" fillId="5" borderId="1" xfId="5" applyFont="1" applyFill="1" applyBorder="1" applyAlignment="1">
      <alignment horizontal="center" wrapText="1"/>
    </xf>
    <xf numFmtId="164" fontId="2" fillId="5" borderId="1" xfId="5" applyNumberFormat="1" applyFont="1" applyFill="1" applyBorder="1"/>
    <xf numFmtId="164" fontId="24" fillId="5" borderId="1" xfId="5" applyNumberFormat="1" applyFont="1" applyFill="1" applyBorder="1" applyAlignment="1">
      <alignment horizontal="center"/>
    </xf>
    <xf numFmtId="17" fontId="32" fillId="18" borderId="1" xfId="5" applyNumberFormat="1" applyFont="1" applyFill="1" applyBorder="1" applyAlignment="1">
      <alignment horizontal="center"/>
    </xf>
    <xf numFmtId="0" fontId="13" fillId="18" borderId="1" xfId="5" applyFont="1" applyFill="1" applyBorder="1" applyAlignment="1">
      <alignment horizontal="center"/>
    </xf>
    <xf numFmtId="0" fontId="8" fillId="18" borderId="1" xfId="5" applyFont="1" applyFill="1" applyBorder="1" applyAlignment="1">
      <alignment wrapText="1"/>
    </xf>
    <xf numFmtId="0" fontId="24" fillId="18" borderId="1" xfId="5" applyFont="1" applyFill="1" applyBorder="1" applyAlignment="1">
      <alignment horizontal="center" wrapText="1"/>
    </xf>
    <xf numFmtId="164" fontId="2" fillId="18" borderId="1" xfId="5" applyNumberFormat="1" applyFont="1" applyFill="1" applyBorder="1"/>
    <xf numFmtId="0" fontId="12" fillId="18" borderId="1" xfId="5" applyFont="1" applyFill="1" applyBorder="1" applyAlignment="1">
      <alignment horizontal="center"/>
    </xf>
    <xf numFmtId="164" fontId="24" fillId="18" borderId="1" xfId="5" applyNumberFormat="1" applyFont="1" applyFill="1" applyBorder="1" applyAlignment="1">
      <alignment horizontal="center"/>
    </xf>
    <xf numFmtId="0" fontId="32" fillId="0" borderId="0" xfId="5" applyFont="1" applyAlignment="1">
      <alignment horizontal="center"/>
    </xf>
    <xf numFmtId="0" fontId="8" fillId="0" borderId="0" xfId="5" applyFont="1" applyAlignment="1">
      <alignment wrapText="1"/>
    </xf>
    <xf numFmtId="0" fontId="40" fillId="0" borderId="0" xfId="5" applyFont="1" applyAlignment="1">
      <alignment horizontal="center" wrapText="1"/>
    </xf>
    <xf numFmtId="164" fontId="8" fillId="0" borderId="0" xfId="5" applyNumberFormat="1" applyFont="1"/>
    <xf numFmtId="164" fontId="24" fillId="0" borderId="0" xfId="5" applyNumberFormat="1" applyFont="1" applyAlignment="1">
      <alignment horizontal="center"/>
    </xf>
    <xf numFmtId="0" fontId="6" fillId="0" borderId="1" xfId="10" applyFont="1" applyBorder="1" applyAlignment="1">
      <alignment horizontal="center"/>
    </xf>
    <xf numFmtId="0" fontId="8" fillId="0" borderId="1" xfId="10" applyFont="1" applyBorder="1"/>
    <xf numFmtId="10" fontId="13" fillId="0" borderId="1" xfId="10" applyNumberFormat="1" applyFont="1" applyBorder="1" applyAlignment="1">
      <alignment horizontal="right"/>
    </xf>
    <xf numFmtId="164" fontId="2" fillId="0" borderId="1" xfId="10" applyNumberFormat="1" applyFont="1" applyBorder="1" applyAlignment="1">
      <alignment horizontal="right"/>
    </xf>
    <xf numFmtId="164" fontId="8" fillId="0" borderId="1" xfId="10" applyNumberFormat="1" applyFont="1" applyBorder="1" applyAlignment="1">
      <alignment horizontal="right"/>
    </xf>
    <xf numFmtId="172" fontId="6" fillId="0" borderId="1" xfId="10" applyNumberFormat="1" applyFont="1" applyBorder="1" applyAlignment="1">
      <alignment horizontal="right"/>
    </xf>
    <xf numFmtId="40" fontId="8" fillId="0" borderId="1" xfId="10" applyNumberFormat="1" applyFont="1" applyBorder="1"/>
    <xf numFmtId="0" fontId="8" fillId="0" borderId="1" xfId="10" applyFont="1" applyBorder="1" applyAlignment="1">
      <alignment horizontal="left"/>
    </xf>
    <xf numFmtId="40" fontId="8" fillId="0" borderId="1" xfId="10" applyNumberFormat="1" applyFont="1" applyBorder="1" applyAlignment="1">
      <alignment horizontal="right"/>
    </xf>
    <xf numFmtId="0" fontId="18" fillId="22" borderId="1" xfId="10" applyFont="1" applyFill="1" applyBorder="1" applyAlignment="1">
      <alignment horizontal="center"/>
    </xf>
    <xf numFmtId="0" fontId="4" fillId="22" borderId="1" xfId="10" applyFont="1" applyFill="1" applyBorder="1" applyAlignment="1">
      <alignment horizontal="center"/>
    </xf>
    <xf numFmtId="164" fontId="4" fillId="22" borderId="1" xfId="10" applyNumberFormat="1" applyFont="1" applyFill="1" applyBorder="1" applyAlignment="1">
      <alignment horizontal="left"/>
    </xf>
    <xf numFmtId="164" fontId="4" fillId="22" borderId="1" xfId="10" applyNumberFormat="1" applyFont="1" applyFill="1" applyBorder="1" applyAlignment="1">
      <alignment horizontal="center"/>
    </xf>
    <xf numFmtId="172" fontId="4" fillId="22" borderId="1" xfId="10" applyNumberFormat="1" applyFont="1" applyFill="1" applyBorder="1" applyAlignment="1">
      <alignment horizontal="center"/>
    </xf>
    <xf numFmtId="40" fontId="4" fillId="22" borderId="1" xfId="10" applyNumberFormat="1" applyFont="1" applyFill="1" applyBorder="1"/>
    <xf numFmtId="0" fontId="4" fillId="22" borderId="1" xfId="10" applyFont="1" applyFill="1" applyBorder="1" applyAlignment="1">
      <alignment horizontal="left"/>
    </xf>
    <xf numFmtId="40" fontId="4" fillId="22" borderId="1" xfId="10" applyNumberFormat="1" applyFont="1" applyFill="1" applyBorder="1" applyAlignment="1">
      <alignment horizontal="right"/>
    </xf>
    <xf numFmtId="0" fontId="4" fillId="0" borderId="1" xfId="10" applyFont="1" applyBorder="1" applyAlignment="1">
      <alignment horizontal="left"/>
    </xf>
    <xf numFmtId="0" fontId="8" fillId="0" borderId="1" xfId="5" applyFont="1" applyBorder="1" applyAlignment="1">
      <alignment horizontal="center"/>
    </xf>
    <xf numFmtId="174" fontId="2" fillId="0" borderId="1" xfId="5" applyNumberFormat="1" applyFont="1" applyBorder="1"/>
    <xf numFmtId="0" fontId="2" fillId="0" borderId="1" xfId="5" applyFont="1" applyBorder="1"/>
    <xf numFmtId="0" fontId="2" fillId="0" borderId="1" xfId="5" applyFont="1" applyBorder="1" applyAlignment="1">
      <alignment horizontal="right"/>
    </xf>
    <xf numFmtId="175" fontId="2" fillId="0" borderId="1" xfId="5" applyNumberFormat="1" applyFont="1" applyBorder="1" applyAlignment="1">
      <alignment horizontal="right"/>
    </xf>
    <xf numFmtId="166" fontId="2" fillId="19" borderId="1" xfId="5" applyNumberFormat="1" applyFont="1" applyFill="1" applyBorder="1" applyAlignment="1">
      <alignment horizontal="center"/>
    </xf>
    <xf numFmtId="166" fontId="2" fillId="19" borderId="1" xfId="5" applyNumberFormat="1" applyFont="1" applyFill="1" applyBorder="1"/>
    <xf numFmtId="167" fontId="2" fillId="19" borderId="1" xfId="5" applyNumberFormat="1" applyFont="1" applyFill="1" applyBorder="1" applyAlignment="1">
      <alignment horizontal="center"/>
    </xf>
    <xf numFmtId="167" fontId="2" fillId="19" borderId="1" xfId="5" applyNumberFormat="1" applyFont="1" applyFill="1" applyBorder="1"/>
    <xf numFmtId="174" fontId="2" fillId="19" borderId="1" xfId="5" applyNumberFormat="1" applyFont="1" applyFill="1" applyBorder="1" applyAlignment="1">
      <alignment horizontal="center"/>
    </xf>
    <xf numFmtId="174" fontId="2" fillId="0" borderId="1" xfId="5" applyNumberFormat="1" applyFont="1" applyBorder="1" applyAlignment="1">
      <alignment horizontal="center"/>
    </xf>
    <xf numFmtId="176" fontId="2" fillId="0" borderId="1" xfId="5" applyNumberFormat="1" applyFont="1" applyBorder="1" applyAlignment="1">
      <alignment horizontal="center"/>
    </xf>
    <xf numFmtId="176" fontId="2" fillId="0" borderId="1" xfId="5" applyNumberFormat="1" applyFont="1" applyBorder="1" applyAlignment="1">
      <alignment horizontal="right"/>
    </xf>
    <xf numFmtId="0" fontId="16" fillId="17" borderId="1" xfId="5" applyFont="1" applyFill="1" applyBorder="1" applyAlignment="1">
      <alignment horizontal="center"/>
    </xf>
    <xf numFmtId="0" fontId="4" fillId="17" borderId="1" xfId="5" applyFont="1" applyFill="1" applyBorder="1"/>
    <xf numFmtId="174" fontId="4" fillId="17" borderId="1" xfId="5" applyNumberFormat="1" applyFont="1" applyFill="1" applyBorder="1"/>
    <xf numFmtId="0" fontId="44" fillId="17" borderId="1" xfId="5" applyFont="1" applyFill="1" applyBorder="1"/>
    <xf numFmtId="174" fontId="44" fillId="17" borderId="1" xfId="5" applyNumberFormat="1" applyFont="1" applyFill="1" applyBorder="1" applyAlignment="1">
      <alignment horizontal="right"/>
    </xf>
    <xf numFmtId="174" fontId="2" fillId="8" borderId="1" xfId="5" applyNumberFormat="1" applyFont="1" applyFill="1" applyBorder="1" applyAlignment="1">
      <alignment horizontal="center"/>
    </xf>
    <xf numFmtId="174" fontId="2" fillId="13" borderId="1" xfId="5" applyNumberFormat="1" applyFont="1" applyFill="1" applyBorder="1" applyAlignment="1">
      <alignment horizontal="center"/>
    </xf>
    <xf numFmtId="174" fontId="2" fillId="10" borderId="1" xfId="5" applyNumberFormat="1" applyFont="1" applyFill="1" applyBorder="1" applyAlignment="1">
      <alignment horizontal="center"/>
    </xf>
    <xf numFmtId="0" fontId="27" fillId="0" borderId="1" xfId="5" applyFont="1" applyBorder="1" applyAlignment="1">
      <alignment horizontal="center"/>
    </xf>
    <xf numFmtId="0" fontId="27" fillId="13" borderId="1" xfId="5" applyFont="1" applyFill="1" applyBorder="1"/>
    <xf numFmtId="174" fontId="27" fillId="8" borderId="1" xfId="5" applyNumberFormat="1" applyFont="1" applyFill="1" applyBorder="1" applyAlignment="1">
      <alignment horizontal="center"/>
    </xf>
    <xf numFmtId="174" fontId="27" fillId="13" borderId="1" xfId="5" applyNumberFormat="1" applyFont="1" applyFill="1" applyBorder="1" applyAlignment="1">
      <alignment horizontal="center"/>
    </xf>
    <xf numFmtId="0" fontId="27" fillId="0" borderId="1" xfId="5" applyFont="1" applyBorder="1"/>
    <xf numFmtId="0" fontId="2" fillId="0" borderId="1" xfId="5" applyFont="1" applyBorder="1" applyAlignment="1">
      <alignment horizontal="center"/>
    </xf>
    <xf numFmtId="174" fontId="12" fillId="0" borderId="1" xfId="5" applyNumberFormat="1" applyFont="1" applyBorder="1" applyAlignment="1">
      <alignment horizontal="center"/>
    </xf>
    <xf numFmtId="174" fontId="4" fillId="17" borderId="1" xfId="5" applyNumberFormat="1" applyFont="1" applyFill="1" applyBorder="1" applyAlignment="1">
      <alignment horizontal="center"/>
    </xf>
    <xf numFmtId="0" fontId="16" fillId="17" borderId="1" xfId="5" applyFont="1" applyFill="1" applyBorder="1"/>
    <xf numFmtId="174" fontId="2" fillId="6" borderId="1" xfId="5" applyNumberFormat="1" applyFont="1" applyFill="1" applyBorder="1" applyAlignment="1">
      <alignment horizontal="center"/>
    </xf>
    <xf numFmtId="174" fontId="12" fillId="6" borderId="1" xfId="5" applyNumberFormat="1" applyFont="1" applyFill="1" applyBorder="1" applyAlignment="1">
      <alignment horizontal="center"/>
    </xf>
    <xf numFmtId="174" fontId="12" fillId="0" borderId="1" xfId="5" applyNumberFormat="1" applyFont="1" applyBorder="1"/>
    <xf numFmtId="174" fontId="12" fillId="0" borderId="1" xfId="5" applyNumberFormat="1" applyFont="1" applyBorder="1" applyAlignment="1">
      <alignment horizontal="right"/>
    </xf>
    <xf numFmtId="0" fontId="30" fillId="0" borderId="1" xfId="5" applyFont="1" applyBorder="1"/>
    <xf numFmtId="14" fontId="8" fillId="0" borderId="1" xfId="5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0" fontId="12" fillId="0" borderId="1" xfId="5" applyFont="1" applyBorder="1" applyAlignment="1">
      <alignment horizontal="right"/>
    </xf>
    <xf numFmtId="2" fontId="45" fillId="0" borderId="1" xfId="5" applyNumberFormat="1" applyFont="1" applyBorder="1" applyAlignment="1">
      <alignment horizontal="right"/>
    </xf>
    <xf numFmtId="0" fontId="12" fillId="0" borderId="1" xfId="5" applyFont="1" applyBorder="1"/>
    <xf numFmtId="175" fontId="12" fillId="0" borderId="1" xfId="5" applyNumberFormat="1" applyFont="1" applyBorder="1" applyAlignment="1">
      <alignment horizontal="right"/>
    </xf>
    <xf numFmtId="0" fontId="2" fillId="0" borderId="1" xfId="10" applyFont="1" applyBorder="1" applyAlignment="1">
      <alignment horizontal="center"/>
    </xf>
    <xf numFmtId="0" fontId="2" fillId="0" borderId="1" xfId="10" applyFont="1" applyBorder="1" applyAlignment="1">
      <alignment horizontal="left"/>
    </xf>
    <xf numFmtId="171" fontId="8" fillId="0" borderId="1" xfId="10" applyNumberFormat="1" applyFont="1" applyBorder="1" applyAlignment="1">
      <alignment horizontal="left"/>
    </xf>
    <xf numFmtId="171" fontId="8" fillId="0" borderId="1" xfId="5" applyNumberFormat="1" applyFont="1" applyBorder="1"/>
    <xf numFmtId="0" fontId="2" fillId="0" borderId="1" xfId="5" applyFont="1" applyBorder="1" applyAlignment="1">
      <alignment horizontal="center" wrapText="1"/>
    </xf>
    <xf numFmtId="171" fontId="2" fillId="0" borderId="1" xfId="5" applyNumberFormat="1" applyFont="1" applyBorder="1" applyAlignment="1">
      <alignment horizontal="center"/>
    </xf>
    <xf numFmtId="49" fontId="30" fillId="0" borderId="1" xfId="2" applyNumberFormat="1" applyFont="1" applyBorder="1"/>
    <xf numFmtId="49" fontId="8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77" fontId="7" fillId="0" borderId="1" xfId="5" applyNumberFormat="1" applyFont="1" applyBorder="1" applyAlignment="1">
      <alignment horizontal="right"/>
    </xf>
    <xf numFmtId="0" fontId="46" fillId="0" borderId="1" xfId="2" applyFont="1" applyBorder="1"/>
    <xf numFmtId="0" fontId="8" fillId="0" borderId="1" xfId="2" applyFont="1" applyBorder="1" applyAlignment="1">
      <alignment horizontal="center"/>
    </xf>
    <xf numFmtId="49" fontId="30" fillId="0" borderId="1" xfId="2" applyNumberFormat="1" applyFont="1" applyBorder="1" applyAlignment="1">
      <alignment horizontal="center"/>
    </xf>
    <xf numFmtId="0" fontId="47" fillId="0" borderId="1" xfId="2" applyFont="1" applyBorder="1" applyAlignment="1">
      <alignment horizontal="center"/>
    </xf>
    <xf numFmtId="49" fontId="24" fillId="0" borderId="1" xfId="2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40" fontId="2" fillId="0" borderId="1" xfId="1" applyNumberFormat="1" applyFont="1" applyBorder="1"/>
    <xf numFmtId="0" fontId="2" fillId="0" borderId="1" xfId="1" applyFont="1" applyBorder="1" applyAlignment="1">
      <alignment wrapText="1"/>
    </xf>
    <xf numFmtId="0" fontId="3" fillId="15" borderId="1" xfId="1" applyFont="1" applyFill="1" applyBorder="1" applyAlignment="1">
      <alignment horizontal="center"/>
    </xf>
    <xf numFmtId="0" fontId="3" fillId="15" borderId="1" xfId="1" applyFont="1" applyFill="1" applyBorder="1"/>
    <xf numFmtId="164" fontId="3" fillId="15" borderId="1" xfId="1" applyNumberFormat="1" applyFont="1" applyFill="1" applyBorder="1" applyAlignment="1">
      <alignment horizontal="center"/>
    </xf>
    <xf numFmtId="40" fontId="3" fillId="15" borderId="1" xfId="1" applyNumberFormat="1" applyFont="1" applyFill="1" applyBorder="1"/>
    <xf numFmtId="0" fontId="3" fillId="15" borderId="1" xfId="1" applyFont="1" applyFill="1" applyBorder="1" applyAlignment="1">
      <alignment wrapText="1"/>
    </xf>
    <xf numFmtId="0" fontId="3" fillId="15" borderId="1" xfId="1" applyFont="1" applyFill="1" applyBorder="1" applyAlignment="1">
      <alignment horizontal="left"/>
    </xf>
    <xf numFmtId="0" fontId="4" fillId="14" borderId="1" xfId="1" applyFont="1" applyFill="1" applyBorder="1" applyAlignment="1">
      <alignment horizontal="center"/>
    </xf>
    <xf numFmtId="165" fontId="4" fillId="14" borderId="1" xfId="1" applyNumberFormat="1" applyFont="1" applyFill="1" applyBorder="1" applyAlignment="1">
      <alignment horizontal="left"/>
    </xf>
    <xf numFmtId="164" fontId="4" fillId="14" borderId="1" xfId="1" applyNumberFormat="1" applyFont="1" applyFill="1" applyBorder="1" applyAlignment="1">
      <alignment horizontal="center"/>
    </xf>
    <xf numFmtId="40" fontId="4" fillId="14" borderId="1" xfId="1" applyNumberFormat="1" applyFont="1" applyFill="1" applyBorder="1"/>
    <xf numFmtId="165" fontId="4" fillId="14" borderId="1" xfId="1" applyNumberFormat="1" applyFont="1" applyFill="1" applyBorder="1" applyAlignment="1">
      <alignment horizontal="left" wrapText="1"/>
    </xf>
    <xf numFmtId="0" fontId="4" fillId="14" borderId="1" xfId="1" applyFont="1" applyFill="1" applyBorder="1" applyAlignment="1">
      <alignment horizontal="left"/>
    </xf>
    <xf numFmtId="0" fontId="48" fillId="14" borderId="1" xfId="5" applyFont="1" applyFill="1" applyBorder="1" applyAlignment="1">
      <alignment horizontal="center"/>
    </xf>
    <xf numFmtId="174" fontId="48" fillId="14" borderId="1" xfId="5" applyNumberFormat="1" applyFont="1" applyFill="1" applyBorder="1" applyAlignment="1">
      <alignment horizontal="center"/>
    </xf>
    <xf numFmtId="40" fontId="48" fillId="14" borderId="1" xfId="5" applyNumberFormat="1" applyFont="1" applyFill="1" applyBorder="1" applyAlignment="1">
      <alignment horizontal="center"/>
    </xf>
    <xf numFmtId="0" fontId="48" fillId="14" borderId="1" xfId="5" applyFont="1" applyFill="1" applyBorder="1" applyAlignment="1">
      <alignment horizontal="center" wrapText="1"/>
    </xf>
    <xf numFmtId="0" fontId="48" fillId="2" borderId="1" xfId="5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 wrapText="1"/>
    </xf>
    <xf numFmtId="40" fontId="2" fillId="2" borderId="1" xfId="5" applyNumberFormat="1" applyFont="1" applyFill="1" applyBorder="1" applyAlignment="1">
      <alignment horizontal="center" wrapText="1"/>
    </xf>
    <xf numFmtId="0" fontId="8" fillId="23" borderId="1" xfId="5" applyFont="1" applyFill="1" applyBorder="1"/>
    <xf numFmtId="0" fontId="8" fillId="11" borderId="1" xfId="5" applyFont="1" applyFill="1" applyBorder="1" applyAlignment="1">
      <alignment horizontal="center"/>
    </xf>
    <xf numFmtId="0" fontId="2" fillId="11" borderId="1" xfId="5" applyFont="1" applyFill="1" applyBorder="1" applyAlignment="1">
      <alignment horizontal="center"/>
    </xf>
    <xf numFmtId="0" fontId="8" fillId="11" borderId="1" xfId="5" applyFont="1" applyFill="1" applyBorder="1" applyAlignment="1">
      <alignment wrapText="1"/>
    </xf>
    <xf numFmtId="0" fontId="4" fillId="24" borderId="1" xfId="5" applyFont="1" applyFill="1" applyBorder="1" applyAlignment="1">
      <alignment horizontal="center"/>
    </xf>
    <xf numFmtId="0" fontId="4" fillId="24" borderId="1" xfId="5" applyFont="1" applyFill="1" applyBorder="1"/>
    <xf numFmtId="0" fontId="4" fillId="24" borderId="1" xfId="5" applyFont="1" applyFill="1" applyBorder="1" applyAlignment="1">
      <alignment horizontal="right"/>
    </xf>
    <xf numFmtId="40" fontId="16" fillId="24" borderId="1" xfId="5" applyNumberFormat="1" applyFont="1" applyFill="1" applyBorder="1" applyAlignment="1">
      <alignment horizontal="right"/>
    </xf>
    <xf numFmtId="0" fontId="4" fillId="24" borderId="1" xfId="5" applyFont="1" applyFill="1" applyBorder="1" applyAlignment="1">
      <alignment wrapText="1"/>
    </xf>
    <xf numFmtId="0" fontId="8" fillId="6" borderId="1" xfId="5" applyFont="1" applyFill="1" applyBorder="1" applyAlignment="1">
      <alignment horizontal="center"/>
    </xf>
    <xf numFmtId="0" fontId="2" fillId="6" borderId="1" xfId="5" applyFont="1" applyFill="1" applyBorder="1" applyAlignment="1">
      <alignment horizontal="right"/>
    </xf>
    <xf numFmtId="0" fontId="2" fillId="6" borderId="1" xfId="5" applyFont="1" applyFill="1" applyBorder="1" applyAlignment="1">
      <alignment horizontal="center"/>
    </xf>
    <xf numFmtId="40" fontId="8" fillId="11" borderId="1" xfId="5" applyNumberFormat="1" applyFont="1" applyFill="1" applyBorder="1" applyAlignment="1">
      <alignment horizontal="center"/>
    </xf>
    <xf numFmtId="0" fontId="2" fillId="11" borderId="1" xfId="5" applyFont="1" applyFill="1" applyBorder="1" applyAlignment="1">
      <alignment horizontal="center" wrapText="1"/>
    </xf>
    <xf numFmtId="0" fontId="8" fillId="11" borderId="1" xfId="5" applyFont="1" applyFill="1" applyBorder="1" applyAlignment="1">
      <alignment horizontal="center" wrapText="1"/>
    </xf>
    <xf numFmtId="40" fontId="2" fillId="11" borderId="1" xfId="5" applyNumberFormat="1" applyFont="1" applyFill="1" applyBorder="1" applyAlignment="1">
      <alignment horizontal="center"/>
    </xf>
    <xf numFmtId="49" fontId="8" fillId="0" borderId="1" xfId="2" applyNumberFormat="1" applyFont="1" applyBorder="1"/>
    <xf numFmtId="49" fontId="2" fillId="0" borderId="1" xfId="2" applyNumberFormat="1" applyFont="1" applyBorder="1" applyAlignment="1">
      <alignment wrapText="1"/>
    </xf>
    <xf numFmtId="49" fontId="8" fillId="0" borderId="1" xfId="2" applyNumberFormat="1" applyFont="1" applyBorder="1" applyAlignment="1">
      <alignment wrapText="1"/>
    </xf>
    <xf numFmtId="0" fontId="4" fillId="4" borderId="1" xfId="5" applyFont="1" applyFill="1" applyBorder="1" applyAlignment="1">
      <alignment horizontal="center"/>
    </xf>
    <xf numFmtId="177" fontId="4" fillId="4" borderId="1" xfId="5" applyNumberFormat="1" applyFont="1" applyFill="1" applyBorder="1" applyAlignment="1">
      <alignment horizontal="center"/>
    </xf>
    <xf numFmtId="40" fontId="16" fillId="4" borderId="1" xfId="5" applyNumberFormat="1" applyFont="1" applyFill="1" applyBorder="1" applyAlignment="1">
      <alignment horizontal="right"/>
    </xf>
    <xf numFmtId="10" fontId="6" fillId="7" borderId="1" xfId="1" applyNumberFormat="1" applyFont="1" applyFill="1" applyBorder="1"/>
    <xf numFmtId="10" fontId="12" fillId="7" borderId="1" xfId="1" applyNumberFormat="1" applyFont="1" applyFill="1" applyBorder="1" applyAlignment="1">
      <alignment horizontal="right"/>
    </xf>
    <xf numFmtId="10" fontId="6" fillId="7" borderId="1" xfId="2" applyNumberFormat="1" applyFont="1" applyFill="1" applyBorder="1" applyAlignment="1">
      <alignment horizontal="right" wrapText="1"/>
    </xf>
    <xf numFmtId="49" fontId="24" fillId="0" borderId="0" xfId="2" applyNumberFormat="1" applyFont="1" applyAlignment="1">
      <alignment horizontal="center"/>
    </xf>
    <xf numFmtId="49" fontId="23" fillId="0" borderId="0" xfId="2" applyNumberFormat="1" applyFont="1" applyAlignment="1">
      <alignment horizontal="center"/>
    </xf>
    <xf numFmtId="0" fontId="23" fillId="0" borderId="0" xfId="4" applyFont="1" applyAlignment="1">
      <alignment horizontal="center"/>
    </xf>
    <xf numFmtId="0" fontId="5" fillId="24" borderId="0" xfId="1" applyFont="1" applyFill="1" applyAlignment="1">
      <alignment horizontal="center"/>
    </xf>
    <xf numFmtId="0" fontId="3" fillId="24" borderId="0" xfId="1" applyFont="1" applyFill="1"/>
    <xf numFmtId="171" fontId="11" fillId="24" borderId="0" xfId="1" applyNumberFormat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164" fontId="3" fillId="24" borderId="0" xfId="1" applyNumberFormat="1" applyFont="1" applyFill="1" applyAlignment="1">
      <alignment horizontal="left" wrapText="1"/>
    </xf>
    <xf numFmtId="164" fontId="3" fillId="24" borderId="0" xfId="1" applyNumberFormat="1" applyFont="1" applyFill="1" applyAlignment="1">
      <alignment horizontal="center"/>
    </xf>
    <xf numFmtId="40" fontId="3" fillId="24" borderId="0" xfId="1" applyNumberFormat="1" applyFont="1" applyFill="1" applyAlignment="1">
      <alignment horizontal="center"/>
    </xf>
    <xf numFmtId="172" fontId="3" fillId="24" borderId="0" xfId="1" applyNumberFormat="1" applyFont="1" applyFill="1" applyAlignment="1">
      <alignment horizontal="center"/>
    </xf>
    <xf numFmtId="173" fontId="3" fillId="24" borderId="0" xfId="1" applyNumberFormat="1" applyFont="1" applyFill="1" applyAlignment="1">
      <alignment horizontal="center"/>
    </xf>
    <xf numFmtId="164" fontId="34" fillId="24" borderId="0" xfId="1" applyNumberFormat="1" applyFont="1" applyFill="1" applyAlignment="1">
      <alignment horizontal="center"/>
    </xf>
    <xf numFmtId="0" fontId="3" fillId="24" borderId="0" xfId="1" applyFont="1" applyFill="1" applyAlignment="1">
      <alignment horizontal="left"/>
    </xf>
    <xf numFmtId="0" fontId="5" fillId="22" borderId="1" xfId="10" applyFont="1" applyFill="1" applyBorder="1" applyAlignment="1">
      <alignment horizontal="center"/>
    </xf>
    <xf numFmtId="0" fontId="3" fillId="22" borderId="1" xfId="10" applyFont="1" applyFill="1" applyBorder="1"/>
    <xf numFmtId="0" fontId="3" fillId="22" borderId="1" xfId="10" applyFont="1" applyFill="1" applyBorder="1" applyAlignment="1">
      <alignment horizontal="center"/>
    </xf>
    <xf numFmtId="164" fontId="3" fillId="22" borderId="1" xfId="10" applyNumberFormat="1" applyFont="1" applyFill="1" applyBorder="1" applyAlignment="1">
      <alignment horizontal="left"/>
    </xf>
    <xf numFmtId="164" fontId="3" fillId="22" borderId="1" xfId="10" applyNumberFormat="1" applyFont="1" applyFill="1" applyBorder="1" applyAlignment="1">
      <alignment horizontal="center"/>
    </xf>
    <xf numFmtId="172" fontId="3" fillId="22" borderId="1" xfId="10" applyNumberFormat="1" applyFont="1" applyFill="1" applyBorder="1" applyAlignment="1">
      <alignment horizontal="center"/>
    </xf>
    <xf numFmtId="40" fontId="3" fillId="22" borderId="1" xfId="10" applyNumberFormat="1" applyFont="1" applyFill="1" applyBorder="1"/>
    <xf numFmtId="0" fontId="3" fillId="22" borderId="1" xfId="10" applyFont="1" applyFill="1" applyBorder="1" applyAlignment="1">
      <alignment horizontal="left"/>
    </xf>
    <xf numFmtId="40" fontId="3" fillId="22" borderId="1" xfId="10" applyNumberFormat="1" applyFont="1" applyFill="1" applyBorder="1" applyAlignment="1">
      <alignment horizontal="right"/>
    </xf>
    <xf numFmtId="0" fontId="3" fillId="0" borderId="1" xfId="10" applyFont="1" applyBorder="1" applyAlignment="1">
      <alignment horizontal="left"/>
    </xf>
    <xf numFmtId="0" fontId="4" fillId="21" borderId="1" xfId="5" applyFont="1" applyFill="1" applyBorder="1" applyAlignment="1">
      <alignment horizontal="center"/>
    </xf>
    <xf numFmtId="0" fontId="4" fillId="21" borderId="1" xfId="5" applyFont="1" applyFill="1" applyBorder="1"/>
    <xf numFmtId="171" fontId="4" fillId="21" borderId="1" xfId="5" applyNumberFormat="1" applyFont="1" applyFill="1" applyBorder="1"/>
    <xf numFmtId="0" fontId="3" fillId="24" borderId="1" xfId="10" applyFont="1" applyFill="1" applyBorder="1" applyAlignment="1">
      <alignment horizontal="center"/>
    </xf>
    <xf numFmtId="0" fontId="3" fillId="24" borderId="1" xfId="10" applyFont="1" applyFill="1" applyBorder="1"/>
    <xf numFmtId="0" fontId="3" fillId="24" borderId="1" xfId="10" applyFont="1" applyFill="1" applyBorder="1" applyAlignment="1">
      <alignment horizontal="left"/>
    </xf>
    <xf numFmtId="171" fontId="3" fillId="24" borderId="1" xfId="10" applyNumberFormat="1" applyFont="1" applyFill="1" applyBorder="1" applyAlignment="1">
      <alignment horizontal="left"/>
    </xf>
    <xf numFmtId="0" fontId="4" fillId="11" borderId="1" xfId="10" applyFont="1" applyFill="1" applyBorder="1" applyAlignment="1">
      <alignment horizontal="center"/>
    </xf>
    <xf numFmtId="165" fontId="4" fillId="11" borderId="1" xfId="10" applyNumberFormat="1" applyFont="1" applyFill="1" applyBorder="1" applyAlignment="1">
      <alignment horizontal="left"/>
    </xf>
    <xf numFmtId="0" fontId="4" fillId="11" borderId="1" xfId="10" applyFont="1" applyFill="1" applyBorder="1" applyAlignment="1">
      <alignment horizontal="left"/>
    </xf>
    <xf numFmtId="171" fontId="4" fillId="11" borderId="1" xfId="10" applyNumberFormat="1" applyFont="1" applyFill="1" applyBorder="1" applyAlignment="1">
      <alignment horizontal="left"/>
    </xf>
    <xf numFmtId="1" fontId="2" fillId="0" borderId="7" xfId="5" applyNumberFormat="1" applyFont="1" applyBorder="1" applyAlignment="1">
      <alignment horizontal="center" wrapText="1"/>
    </xf>
    <xf numFmtId="43" fontId="8" fillId="0" borderId="0" xfId="9" applyFont="1" applyFill="1" applyBorder="1" applyAlignment="1"/>
    <xf numFmtId="43" fontId="31" fillId="0" borderId="0" xfId="6" applyNumberFormat="1" applyFont="1" applyFill="1" applyBorder="1" applyAlignment="1"/>
    <xf numFmtId="43" fontId="8" fillId="0" borderId="0" xfId="6" applyNumberFormat="1" applyFont="1" applyFill="1" applyBorder="1" applyAlignment="1"/>
    <xf numFmtId="0" fontId="21" fillId="0" borderId="1" xfId="0" applyFont="1" applyBorder="1" applyAlignment="1">
      <alignment horizontal="left" wrapText="1"/>
    </xf>
    <xf numFmtId="40" fontId="21" fillId="0" borderId="1" xfId="0" applyNumberFormat="1" applyFont="1" applyBorder="1" applyAlignment="1">
      <alignment horizontal="right" wrapText="1"/>
    </xf>
    <xf numFmtId="10" fontId="21" fillId="0" borderId="1" xfId="0" applyNumberFormat="1" applyFont="1" applyBorder="1" applyAlignment="1">
      <alignment horizontal="right" wrapText="1"/>
    </xf>
    <xf numFmtId="40" fontId="21" fillId="0" borderId="1" xfId="0" applyNumberFormat="1" applyFont="1" applyBorder="1" applyAlignment="1">
      <alignment wrapText="1"/>
    </xf>
    <xf numFmtId="168" fontId="21" fillId="0" borderId="1" xfId="0" applyNumberFormat="1" applyFont="1" applyBorder="1" applyAlignment="1">
      <alignment wrapText="1"/>
    </xf>
    <xf numFmtId="169" fontId="21" fillId="0" borderId="1" xfId="0" applyNumberFormat="1" applyFont="1" applyBorder="1" applyAlignment="1">
      <alignment horizontal="right" wrapText="1"/>
    </xf>
    <xf numFmtId="40" fontId="23" fillId="0" borderId="0" xfId="2" applyNumberFormat="1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0" xfId="2" applyFont="1"/>
    <xf numFmtId="0" fontId="23" fillId="0" borderId="0" xfId="2" applyFont="1" applyAlignment="1">
      <alignment horizontal="center"/>
    </xf>
    <xf numFmtId="49" fontId="30" fillId="0" borderId="1" xfId="0" applyNumberFormat="1" applyFont="1" applyBorder="1"/>
    <xf numFmtId="49" fontId="30" fillId="0" borderId="1" xfId="0" applyNumberFormat="1" applyFont="1" applyBorder="1" applyAlignment="1">
      <alignment horizontal="center"/>
    </xf>
    <xf numFmtId="0" fontId="8" fillId="0" borderId="1" xfId="10" applyFont="1" applyBorder="1" applyAlignment="1">
      <alignment horizontal="center"/>
    </xf>
    <xf numFmtId="0" fontId="46" fillId="0" borderId="1" xfId="2" applyFont="1" applyBorder="1" applyAlignment="1">
      <alignment horizontal="center"/>
    </xf>
    <xf numFmtId="177" fontId="49" fillId="0" borderId="1" xfId="5" applyNumberFormat="1" applyFont="1" applyBorder="1" applyAlignment="1">
      <alignment horizontal="right"/>
    </xf>
    <xf numFmtId="49" fontId="2" fillId="9" borderId="1" xfId="2" applyNumberFormat="1" applyFont="1" applyFill="1" applyBorder="1" applyAlignment="1">
      <alignment horizontal="left"/>
    </xf>
    <xf numFmtId="171" fontId="2" fillId="9" borderId="1" xfId="2" applyNumberFormat="1" applyFont="1" applyFill="1" applyBorder="1" applyAlignment="1">
      <alignment horizontal="left"/>
    </xf>
    <xf numFmtId="0" fontId="2" fillId="9" borderId="1" xfId="5" applyFont="1" applyFill="1" applyBorder="1" applyAlignment="1">
      <alignment horizontal="left"/>
    </xf>
    <xf numFmtId="0" fontId="50" fillId="9" borderId="1" xfId="2" applyFont="1" applyFill="1" applyBorder="1" applyAlignment="1">
      <alignment horizontal="center"/>
    </xf>
    <xf numFmtId="0" fontId="27" fillId="0" borderId="1" xfId="2" applyFont="1" applyBorder="1" applyAlignment="1">
      <alignment horizontal="center"/>
    </xf>
    <xf numFmtId="0" fontId="43" fillId="0" borderId="1" xfId="5" applyFont="1" applyBorder="1" applyAlignment="1">
      <alignment horizontal="center"/>
    </xf>
    <xf numFmtId="40" fontId="2" fillId="25" borderId="1" xfId="5" applyNumberFormat="1" applyFont="1" applyFill="1" applyBorder="1" applyAlignment="1">
      <alignment horizontal="right"/>
    </xf>
    <xf numFmtId="0" fontId="8" fillId="25" borderId="1" xfId="5" applyFont="1" applyFill="1" applyBorder="1" applyAlignment="1">
      <alignment horizontal="center"/>
    </xf>
    <xf numFmtId="0" fontId="8" fillId="25" borderId="1" xfId="5" applyFont="1" applyFill="1" applyBorder="1"/>
    <xf numFmtId="0" fontId="27" fillId="25" borderId="1" xfId="5" applyFont="1" applyFill="1" applyBorder="1" applyAlignment="1">
      <alignment horizontal="center"/>
    </xf>
    <xf numFmtId="174" fontId="2" fillId="25" borderId="1" xfId="5" applyNumberFormat="1" applyFont="1" applyFill="1" applyBorder="1" applyAlignment="1">
      <alignment horizontal="center"/>
    </xf>
    <xf numFmtId="40" fontId="8" fillId="25" borderId="1" xfId="5" applyNumberFormat="1" applyFont="1" applyFill="1" applyBorder="1" applyAlignment="1">
      <alignment horizontal="right"/>
    </xf>
    <xf numFmtId="0" fontId="2" fillId="25" borderId="1" xfId="5" applyFont="1" applyFill="1" applyBorder="1" applyAlignment="1">
      <alignment wrapText="1"/>
    </xf>
    <xf numFmtId="0" fontId="8" fillId="25" borderId="1" xfId="5" applyFont="1" applyFill="1" applyBorder="1" applyAlignment="1">
      <alignment wrapText="1"/>
    </xf>
    <xf numFmtId="40" fontId="2" fillId="0" borderId="1" xfId="5" applyNumberFormat="1" applyFont="1" applyBorder="1" applyAlignment="1">
      <alignment horizontal="left"/>
    </xf>
    <xf numFmtId="40" fontId="21" fillId="14" borderId="1" xfId="0" applyNumberFormat="1" applyFont="1" applyFill="1" applyBorder="1" applyAlignment="1">
      <alignment wrapText="1"/>
    </xf>
    <xf numFmtId="168" fontId="21" fillId="14" borderId="1" xfId="0" applyNumberFormat="1" applyFont="1" applyFill="1" applyBorder="1" applyAlignment="1">
      <alignment wrapText="1"/>
    </xf>
    <xf numFmtId="0" fontId="51" fillId="12" borderId="1" xfId="0" applyFont="1" applyFill="1" applyBorder="1" applyAlignment="1">
      <alignment horizontal="left" wrapText="1"/>
    </xf>
    <xf numFmtId="40" fontId="51" fillId="12" borderId="1" xfId="0" applyNumberFormat="1" applyFont="1" applyFill="1" applyBorder="1" applyAlignment="1">
      <alignment horizontal="right" wrapText="1"/>
    </xf>
    <xf numFmtId="10" fontId="51" fillId="12" borderId="1" xfId="0" applyNumberFormat="1" applyFont="1" applyFill="1" applyBorder="1" applyAlignment="1">
      <alignment horizontal="right" wrapText="1"/>
    </xf>
    <xf numFmtId="0" fontId="51" fillId="14" borderId="1" xfId="0" applyFont="1" applyFill="1" applyBorder="1" applyAlignment="1">
      <alignment horizontal="left" wrapText="1"/>
    </xf>
    <xf numFmtId="0" fontId="51" fillId="0" borderId="1" xfId="0" applyFont="1" applyBorder="1" applyAlignment="1">
      <alignment horizontal="left" wrapText="1"/>
    </xf>
    <xf numFmtId="40" fontId="51" fillId="0" borderId="1" xfId="0" applyNumberFormat="1" applyFont="1" applyBorder="1" applyAlignment="1">
      <alignment horizontal="right" wrapText="1"/>
    </xf>
    <xf numFmtId="10" fontId="51" fillId="0" borderId="1" xfId="0" applyNumberFormat="1" applyFont="1" applyBorder="1" applyAlignment="1">
      <alignment horizontal="right" wrapText="1"/>
    </xf>
    <xf numFmtId="40" fontId="21" fillId="14" borderId="1" xfId="0" applyNumberFormat="1" applyFont="1" applyFill="1" applyBorder="1" applyAlignment="1">
      <alignment horizontal="right" wrapText="1"/>
    </xf>
    <xf numFmtId="10" fontId="21" fillId="14" borderId="1" xfId="0" applyNumberFormat="1" applyFont="1" applyFill="1" applyBorder="1" applyAlignment="1">
      <alignment horizontal="right" wrapText="1"/>
    </xf>
    <xf numFmtId="40" fontId="51" fillId="14" borderId="1" xfId="0" applyNumberFormat="1" applyFont="1" applyFill="1" applyBorder="1" applyAlignment="1">
      <alignment wrapText="1"/>
    </xf>
    <xf numFmtId="40" fontId="51" fillId="14" borderId="1" xfId="0" applyNumberFormat="1" applyFont="1" applyFill="1" applyBorder="1" applyAlignment="1">
      <alignment horizontal="right" wrapText="1"/>
    </xf>
    <xf numFmtId="10" fontId="51" fillId="14" borderId="1" xfId="0" applyNumberFormat="1" applyFont="1" applyFill="1" applyBorder="1" applyAlignment="1">
      <alignment horizontal="right" wrapText="1"/>
    </xf>
    <xf numFmtId="169" fontId="51" fillId="12" borderId="1" xfId="0" applyNumberFormat="1" applyFont="1" applyFill="1" applyBorder="1" applyAlignment="1">
      <alignment horizontal="right" wrapText="1"/>
    </xf>
    <xf numFmtId="169" fontId="5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169" fontId="2" fillId="0" borderId="1" xfId="0" applyNumberFormat="1" applyFont="1" applyBorder="1" applyAlignment="1">
      <alignment horizontal="right" wrapText="1"/>
    </xf>
    <xf numFmtId="10" fontId="3" fillId="5" borderId="1" xfId="1" applyNumberFormat="1" applyFont="1" applyFill="1" applyBorder="1" applyAlignment="1">
      <alignment horizontal="center"/>
    </xf>
    <xf numFmtId="10" fontId="2" fillId="6" borderId="1" xfId="1" applyNumberFormat="1" applyFont="1" applyFill="1" applyBorder="1" applyAlignment="1">
      <alignment horizontal="center"/>
    </xf>
    <xf numFmtId="10" fontId="2" fillId="7" borderId="1" xfId="1" applyNumberFormat="1" applyFont="1" applyFill="1" applyBorder="1" applyAlignment="1">
      <alignment horizontal="center"/>
    </xf>
    <xf numFmtId="10" fontId="12" fillId="7" borderId="1" xfId="1" applyNumberFormat="1" applyFont="1" applyFill="1" applyBorder="1" applyAlignment="1">
      <alignment horizontal="center"/>
    </xf>
    <xf numFmtId="10" fontId="13" fillId="0" borderId="1" xfId="1" applyNumberFormat="1" applyFont="1" applyBorder="1" applyAlignment="1">
      <alignment horizontal="center"/>
    </xf>
    <xf numFmtId="10" fontId="14" fillId="5" borderId="1" xfId="1" applyNumberFormat="1" applyFont="1" applyFill="1" applyBorder="1" applyAlignment="1">
      <alignment horizontal="center"/>
    </xf>
    <xf numFmtId="10" fontId="12" fillId="9" borderId="1" xfId="1" applyNumberFormat="1" applyFont="1" applyFill="1" applyBorder="1" applyAlignment="1">
      <alignment horizontal="center"/>
    </xf>
    <xf numFmtId="10" fontId="12" fillId="0" borderId="1" xfId="1" applyNumberFormat="1" applyFont="1" applyBorder="1" applyAlignment="1">
      <alignment horizontal="center"/>
    </xf>
    <xf numFmtId="0" fontId="21" fillId="11" borderId="1" xfId="0" applyFont="1" applyFill="1" applyBorder="1" applyAlignment="1">
      <alignment horizontal="left" wrapText="1"/>
    </xf>
    <xf numFmtId="40" fontId="21" fillId="11" borderId="1" xfId="0" applyNumberFormat="1" applyFont="1" applyFill="1" applyBorder="1" applyAlignment="1">
      <alignment horizontal="right" wrapText="1"/>
    </xf>
    <xf numFmtId="10" fontId="21" fillId="11" borderId="1" xfId="0" applyNumberFormat="1" applyFont="1" applyFill="1" applyBorder="1" applyAlignment="1">
      <alignment horizontal="right" wrapText="1"/>
    </xf>
    <xf numFmtId="0" fontId="3" fillId="10" borderId="1" xfId="1" applyFont="1" applyFill="1" applyBorder="1" applyAlignment="1">
      <alignment horizontal="center"/>
    </xf>
    <xf numFmtId="0" fontId="52" fillId="10" borderId="1" xfId="1" applyFont="1" applyFill="1" applyBorder="1"/>
    <xf numFmtId="0" fontId="3" fillId="10" borderId="1" xfId="1" applyFont="1" applyFill="1" applyBorder="1" applyAlignment="1">
      <alignment horizontal="left"/>
    </xf>
    <xf numFmtId="0" fontId="3" fillId="10" borderId="1" xfId="1" applyFont="1" applyFill="1" applyBorder="1"/>
    <xf numFmtId="165" fontId="22" fillId="11" borderId="0" xfId="1" applyNumberFormat="1" applyFont="1" applyFill="1" applyAlignment="1">
      <alignment horizontal="center"/>
    </xf>
    <xf numFmtId="0" fontId="16" fillId="11" borderId="0" xfId="1" applyFont="1" applyFill="1" applyAlignment="1">
      <alignment horizontal="left"/>
    </xf>
    <xf numFmtId="164" fontId="4" fillId="11" borderId="0" xfId="1" applyNumberFormat="1" applyFont="1" applyFill="1" applyAlignment="1">
      <alignment horizontal="left" wrapText="1"/>
    </xf>
    <xf numFmtId="172" fontId="4" fillId="11" borderId="0" xfId="1" applyNumberFormat="1" applyFont="1" applyFill="1" applyAlignment="1">
      <alignment horizontal="center"/>
    </xf>
    <xf numFmtId="173" fontId="4" fillId="11" borderId="0" xfId="1" applyNumberFormat="1" applyFont="1" applyFill="1" applyAlignment="1">
      <alignment horizontal="center"/>
    </xf>
    <xf numFmtId="164" fontId="35" fillId="11" borderId="0" xfId="1" applyNumberFormat="1" applyFont="1" applyFill="1" applyAlignment="1">
      <alignment horizontal="left"/>
    </xf>
    <xf numFmtId="164" fontId="4" fillId="11" borderId="0" xfId="1" applyNumberFormat="1" applyFont="1" applyFill="1" applyAlignment="1">
      <alignment horizontal="center"/>
    </xf>
    <xf numFmtId="0" fontId="2" fillId="26" borderId="1" xfId="5" applyFont="1" applyFill="1" applyBorder="1"/>
    <xf numFmtId="174" fontId="2" fillId="26" borderId="1" xfId="5" applyNumberFormat="1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center"/>
    </xf>
    <xf numFmtId="165" fontId="4" fillId="11" borderId="0" xfId="1" applyNumberFormat="1" applyFont="1" applyFill="1" applyAlignment="1">
      <alignment horizontal="left"/>
    </xf>
    <xf numFmtId="0" fontId="4" fillId="20" borderId="17" xfId="5" applyFont="1" applyFill="1" applyBorder="1" applyAlignment="1">
      <alignment horizontal="left"/>
    </xf>
    <xf numFmtId="0" fontId="4" fillId="20" borderId="26" xfId="5" applyFont="1" applyFill="1" applyBorder="1" applyAlignment="1">
      <alignment horizontal="left"/>
    </xf>
    <xf numFmtId="0" fontId="4" fillId="20" borderId="18" xfId="5" applyFont="1" applyFill="1" applyBorder="1" applyAlignment="1">
      <alignment horizontal="left"/>
    </xf>
    <xf numFmtId="0" fontId="4" fillId="20" borderId="19" xfId="5" applyFont="1" applyFill="1" applyBorder="1" applyAlignment="1">
      <alignment horizontal="left"/>
    </xf>
    <xf numFmtId="165" fontId="4" fillId="22" borderId="1" xfId="10" applyNumberFormat="1" applyFont="1" applyFill="1" applyBorder="1" applyAlignment="1">
      <alignment horizontal="left"/>
    </xf>
  </cellXfs>
  <cellStyles count="11">
    <cellStyle name="Comma 2" xfId="9" xr:uid="{58086BF0-03C4-4BAC-800B-36AF9F3128A1}"/>
    <cellStyle name="Currency 2" xfId="6" xr:uid="{049575B8-A80A-47CE-A463-4C8C9B26D23E}"/>
    <cellStyle name="Normal" xfId="0" builtinId="0"/>
    <cellStyle name="Normal 2 2" xfId="2" xr:uid="{030D5781-25FD-4EA5-9870-969C5A8B2D23}"/>
    <cellStyle name="Normal 2 3 2" xfId="3" xr:uid="{B74C99CB-A37C-423C-AE38-6C7356ED3C03}"/>
    <cellStyle name="Normal 2 5" xfId="7" xr:uid="{32CDC141-40E2-45FA-86F3-B131FFD2DC79}"/>
    <cellStyle name="Normal 29" xfId="4" xr:uid="{39E78C13-9616-471D-8D93-5A757D571846}"/>
    <cellStyle name="Normal 3" xfId="5" xr:uid="{0AFFBF1B-293A-4B83-93AF-2F1B156C81DF}"/>
    <cellStyle name="Normal 64" xfId="1" xr:uid="{C268056E-2B81-4F45-9A05-2262CED0DA84}"/>
    <cellStyle name="Normal 64 2" xfId="10" xr:uid="{EAC9BD4F-1410-485E-A29A-2F8E1295F4C4}"/>
    <cellStyle name="Percent 2" xfId="8" xr:uid="{10B569DB-4D8E-48EA-8746-00EE917D1482}"/>
  </cellStyles>
  <dxfs count="0"/>
  <tableStyles count="0" defaultTableStyle="TableStyleMedium2" defaultPivotStyle="PivotStyleLight16"/>
  <colors>
    <mruColors>
      <color rgb="FFFFCC99"/>
      <color rgb="FFFFCCFF"/>
      <color rgb="FFFF66FF"/>
      <color rgb="FFCC99FF"/>
      <color rgb="FFCCCCFF"/>
      <color rgb="FF0000FF"/>
      <color rgb="FF99CCFF"/>
      <color rgb="FF85CD8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about:blank" TargetMode="Externa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84157</xdr:colOff>
      <xdr:row>3</xdr:row>
      <xdr:rowOff>15567</xdr:rowOff>
    </xdr:from>
    <xdr:ext cx="310002" cy="269182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9150E166-06FF-4C0D-A83B-EB3725A6EBC3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7" y="396567"/>
          <a:ext cx="310002" cy="26918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654049</xdr:colOff>
      <xdr:row>0</xdr:row>
      <xdr:rowOff>44639</xdr:rowOff>
    </xdr:from>
    <xdr:ext cx="496571" cy="444311"/>
    <xdr:pic>
      <xdr:nvPicPr>
        <xdr:cNvPr id="2" name="Picture 1">
          <a:extLst>
            <a:ext uri="{FF2B5EF4-FFF2-40B4-BE49-F238E27FC236}">
              <a16:creationId xmlns:a16="http://schemas.microsoft.com/office/drawing/2014/main" id="{D7658141-EF62-4DA0-852D-4FCBA238D1C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9" y="44639"/>
          <a:ext cx="496571" cy="44431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5150</xdr:colOff>
      <xdr:row>3</xdr:row>
      <xdr:rowOff>61288</xdr:rowOff>
    </xdr:from>
    <xdr:to>
      <xdr:col>1</xdr:col>
      <xdr:colOff>409903</xdr:colOff>
      <xdr:row>6</xdr:row>
      <xdr:rowOff>47297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C8E10-4079-47AE-80C8-6B4D8D8E2CF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70" y="442288"/>
          <a:ext cx="404753" cy="313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140977</xdr:colOff>
      <xdr:row>0</xdr:row>
      <xdr:rowOff>66244</xdr:rowOff>
    </xdr:from>
    <xdr:to>
      <xdr:col>4</xdr:col>
      <xdr:colOff>214945</xdr:colOff>
      <xdr:row>2</xdr:row>
      <xdr:rowOff>70339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01E57-C5B6-4CF6-A15C-8BB0B91BA5AF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7" y="66244"/>
          <a:ext cx="340668" cy="255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67476</xdr:colOff>
      <xdr:row>3</xdr:row>
      <xdr:rowOff>21546</xdr:rowOff>
    </xdr:from>
    <xdr:ext cx="330089" cy="256750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D02272DE-15E8-438F-9070-5D1A1C28AB7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6" y="405859"/>
          <a:ext cx="330089" cy="256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373501</xdr:colOff>
      <xdr:row>1</xdr:row>
      <xdr:rowOff>7247</xdr:rowOff>
    </xdr:from>
    <xdr:ext cx="376776" cy="332722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804E4EC2-C330-4958-9ED6-F490BDF57F77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341" y="106307"/>
          <a:ext cx="376776" cy="3327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68318</xdr:colOff>
      <xdr:row>0</xdr:row>
      <xdr:rowOff>89047</xdr:rowOff>
    </xdr:from>
    <xdr:ext cx="278523" cy="236774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886FBE32-023E-4A7E-A193-2AB7036388B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8" y="89047"/>
          <a:ext cx="278523" cy="2367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7A7D-495E-4212-A54E-0FCE72D5F871}">
  <sheetPr codeName="Sheet1">
    <tabColor rgb="FF7030A0"/>
  </sheetPr>
  <dimension ref="A1:J98"/>
  <sheetViews>
    <sheetView tabSelected="1" zoomScale="130" zoomScaleNormal="130" zoomScaleSheetLayoutView="100" workbookViewId="0">
      <selection activeCell="E13" sqref="E13"/>
    </sheetView>
  </sheetViews>
  <sheetFormatPr defaultColWidth="13" defaultRowHeight="7.8" x14ac:dyDescent="0.15"/>
  <cols>
    <col min="1" max="1" width="5.5703125" style="28" customWidth="1"/>
    <col min="2" max="2" width="39.42578125" style="31" customWidth="1"/>
    <col min="3" max="3" width="2.85546875" style="757" customWidth="1"/>
    <col min="4" max="4" width="14.7109375" style="4" customWidth="1"/>
    <col min="5" max="5" width="13.7109375" style="4" customWidth="1"/>
    <col min="6" max="6" width="16.28515625" style="32" customWidth="1"/>
    <col min="7" max="7" width="14.140625" style="29" customWidth="1"/>
    <col min="8" max="8" width="2.85546875" style="47" customWidth="1"/>
    <col min="9" max="9" width="12.85546875" style="30" customWidth="1"/>
    <col min="10" max="10" width="15.42578125" style="30" customWidth="1"/>
    <col min="11" max="16384" width="13" style="30"/>
  </cols>
  <sheetData>
    <row r="1" spans="1:9" s="6" customFormat="1" x14ac:dyDescent="0.15">
      <c r="A1" s="1"/>
      <c r="B1" s="2" t="s">
        <v>0</v>
      </c>
      <c r="C1" s="617"/>
      <c r="D1" s="4"/>
      <c r="E1" s="4"/>
      <c r="F1" s="4"/>
      <c r="G1" s="5"/>
      <c r="H1" s="3"/>
    </row>
    <row r="2" spans="1:9" s="9" customFormat="1" ht="12" x14ac:dyDescent="0.25">
      <c r="A2" s="7"/>
      <c r="B2" s="8" t="s">
        <v>658</v>
      </c>
      <c r="C2" s="7"/>
      <c r="E2" s="10"/>
      <c r="F2" s="11"/>
      <c r="G2" s="12"/>
      <c r="H2" s="7"/>
    </row>
    <row r="3" spans="1:9" s="15" customFormat="1" ht="10.199999999999999" x14ac:dyDescent="0.2">
      <c r="A3" s="13"/>
      <c r="B3" s="14">
        <v>45323</v>
      </c>
      <c r="C3" s="13"/>
      <c r="D3" s="16"/>
      <c r="E3" s="16"/>
      <c r="F3" s="16"/>
      <c r="G3" s="17"/>
    </row>
    <row r="4" spans="1:9" s="6" customFormat="1" x14ac:dyDescent="0.15">
      <c r="A4" s="1"/>
      <c r="B4" s="2"/>
      <c r="C4" s="1"/>
      <c r="D4" s="4"/>
      <c r="E4" s="4"/>
      <c r="F4" s="4"/>
      <c r="G4" s="5"/>
      <c r="H4" s="1"/>
    </row>
    <row r="5" spans="1:9" s="6" customFormat="1" x14ac:dyDescent="0.15">
      <c r="A5" s="1"/>
      <c r="B5" s="2"/>
      <c r="C5" s="1"/>
      <c r="D5" s="4"/>
      <c r="E5" s="4"/>
      <c r="F5" s="4"/>
      <c r="G5" s="5"/>
      <c r="H5" s="1"/>
    </row>
    <row r="6" spans="1:9" s="6" customFormat="1" x14ac:dyDescent="0.15">
      <c r="A6" s="1"/>
      <c r="B6" s="2"/>
      <c r="C6" s="1"/>
      <c r="D6" s="4"/>
      <c r="E6" s="4"/>
      <c r="F6" s="4"/>
      <c r="G6" s="5"/>
      <c r="H6" s="1"/>
    </row>
    <row r="7" spans="1:9" s="18" customFormat="1" ht="15.6" x14ac:dyDescent="0.15">
      <c r="B7" s="19" t="s">
        <v>1</v>
      </c>
      <c r="C7" s="20"/>
      <c r="D7" s="21" t="s">
        <v>2</v>
      </c>
      <c r="E7" s="21" t="s">
        <v>3</v>
      </c>
      <c r="F7" s="21" t="s">
        <v>4</v>
      </c>
      <c r="G7" s="20" t="s">
        <v>5</v>
      </c>
      <c r="H7" s="20"/>
      <c r="I7" s="20" t="s">
        <v>6</v>
      </c>
    </row>
    <row r="8" spans="1:9" s="6" customFormat="1" x14ac:dyDescent="0.15">
      <c r="A8" s="1"/>
      <c r="B8" s="2"/>
      <c r="C8" s="617"/>
      <c r="D8" s="4"/>
      <c r="E8" s="4"/>
      <c r="F8" s="4"/>
      <c r="G8" s="5"/>
      <c r="H8" s="3"/>
    </row>
    <row r="9" spans="1:9" s="6" customFormat="1" x14ac:dyDescent="0.15">
      <c r="A9" s="1"/>
      <c r="B9" s="2"/>
      <c r="C9" s="617"/>
      <c r="D9" s="4"/>
      <c r="E9" s="4"/>
      <c r="F9" s="4"/>
      <c r="G9" s="5"/>
      <c r="H9" s="3"/>
    </row>
    <row r="10" spans="1:9" s="27" customFormat="1" ht="12" x14ac:dyDescent="0.25">
      <c r="A10" s="22"/>
      <c r="B10" s="23" t="s">
        <v>7</v>
      </c>
      <c r="C10" s="753"/>
      <c r="D10" s="25"/>
      <c r="E10" s="25"/>
      <c r="F10" s="25"/>
      <c r="G10" s="26"/>
      <c r="H10" s="24"/>
    </row>
    <row r="11" spans="1:9" s="6" customFormat="1" x14ac:dyDescent="0.15">
      <c r="A11" s="28"/>
      <c r="B11" s="2"/>
      <c r="C11" s="617"/>
      <c r="D11" s="4"/>
      <c r="E11" s="4"/>
      <c r="F11" s="4"/>
      <c r="G11" s="29"/>
      <c r="H11" s="3"/>
      <c r="I11" s="30"/>
    </row>
    <row r="12" spans="1:9" s="6" customFormat="1" x14ac:dyDescent="0.15">
      <c r="A12" s="28"/>
      <c r="B12" s="31" t="s">
        <v>8</v>
      </c>
      <c r="C12" s="617"/>
      <c r="D12" s="32">
        <v>857485.05999999994</v>
      </c>
      <c r="E12" s="4">
        <v>1357365</v>
      </c>
      <c r="F12" s="32">
        <f>D12-E12</f>
        <v>-499879.94000000006</v>
      </c>
      <c r="G12" s="29">
        <f>D12/E12</f>
        <v>0.63172769299341003</v>
      </c>
      <c r="H12" s="3"/>
      <c r="I12" s="30"/>
    </row>
    <row r="13" spans="1:9" s="6" customFormat="1" x14ac:dyDescent="0.15">
      <c r="A13" s="28"/>
      <c r="B13" s="31" t="s">
        <v>9</v>
      </c>
      <c r="C13" s="617"/>
      <c r="D13" s="32">
        <v>374779.16000000003</v>
      </c>
      <c r="E13" s="4">
        <v>977115</v>
      </c>
      <c r="F13" s="32">
        <f>E13-D13</f>
        <v>602335.84</v>
      </c>
      <c r="G13" s="29">
        <f>D13/E13</f>
        <v>0.38355685871161532</v>
      </c>
      <c r="H13" s="3"/>
      <c r="I13" s="30"/>
    </row>
    <row r="14" spans="1:9" s="6" customFormat="1" x14ac:dyDescent="0.15">
      <c r="A14" s="28"/>
      <c r="B14" s="33" t="s">
        <v>10</v>
      </c>
      <c r="C14" s="754"/>
      <c r="D14" s="35">
        <f>D12-D13</f>
        <v>482705.89999999991</v>
      </c>
      <c r="E14" s="35">
        <f t="shared" ref="E14" si="0">E12-E13</f>
        <v>380250</v>
      </c>
      <c r="F14" s="35">
        <f>SUM(F12:F13)</f>
        <v>102455.89999999991</v>
      </c>
      <c r="G14" s="36"/>
      <c r="H14" s="34"/>
      <c r="I14" s="30"/>
    </row>
    <row r="15" spans="1:9" s="6" customFormat="1" x14ac:dyDescent="0.15">
      <c r="A15" s="28"/>
      <c r="B15" s="31"/>
      <c r="C15" s="617"/>
      <c r="D15" s="32"/>
      <c r="E15" s="4"/>
      <c r="F15" s="32"/>
      <c r="G15" s="29"/>
      <c r="H15" s="3"/>
      <c r="I15" s="30"/>
    </row>
    <row r="16" spans="1:9" s="6" customFormat="1" x14ac:dyDescent="0.15">
      <c r="A16" s="28"/>
      <c r="B16" s="31" t="s">
        <v>11</v>
      </c>
      <c r="C16" s="617"/>
      <c r="D16" s="32">
        <v>291161.84999999998</v>
      </c>
      <c r="E16" s="4">
        <v>572629</v>
      </c>
      <c r="F16" s="32">
        <f>E16-D16</f>
        <v>281467.15000000002</v>
      </c>
      <c r="G16" s="29">
        <f>D16/E16</f>
        <v>0.50846507948427333</v>
      </c>
      <c r="H16" s="3"/>
      <c r="I16" s="30"/>
    </row>
    <row r="17" spans="1:9" s="6" customFormat="1" x14ac:dyDescent="0.15">
      <c r="A17" s="28"/>
      <c r="B17" s="33" t="s">
        <v>12</v>
      </c>
      <c r="C17" s="754"/>
      <c r="D17" s="35">
        <f>D14-D16</f>
        <v>191544.04999999993</v>
      </c>
      <c r="E17" s="35">
        <f t="shared" ref="E17" si="1">E14-E16</f>
        <v>-192379</v>
      </c>
      <c r="F17" s="35">
        <f>D17-E17</f>
        <v>383923.04999999993</v>
      </c>
      <c r="G17" s="37">
        <f>D17/E17</f>
        <v>-0.99565986932045558</v>
      </c>
      <c r="H17" s="34"/>
      <c r="I17" s="30"/>
    </row>
    <row r="18" spans="1:9" s="6" customFormat="1" x14ac:dyDescent="0.15">
      <c r="A18" s="28"/>
      <c r="B18" s="31"/>
      <c r="C18" s="617"/>
      <c r="D18" s="32"/>
      <c r="E18" s="4"/>
      <c r="F18" s="32"/>
      <c r="G18" s="29"/>
      <c r="H18" s="3"/>
      <c r="I18" s="30"/>
    </row>
    <row r="19" spans="1:9" s="6" customFormat="1" x14ac:dyDescent="0.15">
      <c r="A19" s="28"/>
      <c r="B19" s="31"/>
      <c r="C19" s="617"/>
      <c r="D19" s="32"/>
      <c r="E19" s="4"/>
      <c r="F19" s="32"/>
      <c r="G19" s="29"/>
      <c r="H19" s="3"/>
      <c r="I19" s="30"/>
    </row>
    <row r="20" spans="1:9" s="6" customFormat="1" x14ac:dyDescent="0.15">
      <c r="A20" s="28"/>
      <c r="B20" s="38" t="s">
        <v>13</v>
      </c>
      <c r="C20" s="755"/>
      <c r="D20" s="40">
        <v>25294.390000000003</v>
      </c>
      <c r="E20" s="40">
        <v>107135</v>
      </c>
      <c r="F20" s="40">
        <f>D20-E20</f>
        <v>-81840.61</v>
      </c>
      <c r="G20" s="662">
        <f t="shared" ref="G20" si="2">D20/E20</f>
        <v>0.2360982872077286</v>
      </c>
      <c r="H20" s="39"/>
    </row>
    <row r="21" spans="1:9" s="6" customFormat="1" x14ac:dyDescent="0.15">
      <c r="A21" s="28"/>
      <c r="B21" s="31"/>
      <c r="C21" s="617"/>
      <c r="D21" s="32"/>
      <c r="E21" s="4"/>
      <c r="F21" s="32"/>
      <c r="G21" s="29"/>
      <c r="H21" s="3"/>
      <c r="I21" s="30"/>
    </row>
    <row r="22" spans="1:9" s="6" customFormat="1" x14ac:dyDescent="0.15">
      <c r="A22" s="28"/>
      <c r="B22" s="31" t="s">
        <v>14</v>
      </c>
      <c r="C22" s="617"/>
      <c r="D22" s="41">
        <v>-24857.079999999998</v>
      </c>
      <c r="E22" s="42">
        <v>-55968</v>
      </c>
      <c r="F22" s="41">
        <f t="shared" ref="F22:F23" si="3">D22-E22</f>
        <v>31110.920000000002</v>
      </c>
      <c r="G22" s="43">
        <f t="shared" ref="G22:G32" si="4">D22/E22</f>
        <v>0.44413021726700969</v>
      </c>
      <c r="H22" s="3"/>
      <c r="I22" s="30"/>
    </row>
    <row r="23" spans="1:9" s="6" customFormat="1" x14ac:dyDescent="0.15">
      <c r="A23" s="28"/>
      <c r="B23" s="31" t="s">
        <v>15</v>
      </c>
      <c r="C23" s="617"/>
      <c r="D23" s="41">
        <v>22452.350000000002</v>
      </c>
      <c r="E23" s="42">
        <v>96141</v>
      </c>
      <c r="F23" s="41">
        <f t="shared" si="3"/>
        <v>-73688.649999999994</v>
      </c>
      <c r="G23" s="43">
        <f t="shared" si="4"/>
        <v>0.23353564036155233</v>
      </c>
      <c r="H23" s="3"/>
      <c r="I23" s="30"/>
    </row>
    <row r="24" spans="1:9" s="6" customFormat="1" x14ac:dyDescent="0.15">
      <c r="A24" s="28"/>
      <c r="B24" s="38" t="s">
        <v>16</v>
      </c>
      <c r="C24" s="755"/>
      <c r="D24" s="44">
        <f>SUM(D22:D23)</f>
        <v>-2404.7299999999959</v>
      </c>
      <c r="E24" s="44">
        <f t="shared" ref="E24:F24" si="5">SUM(E22:E23)</f>
        <v>40173</v>
      </c>
      <c r="F24" s="44">
        <f t="shared" si="5"/>
        <v>-42577.729999999996</v>
      </c>
      <c r="G24" s="664">
        <f t="shared" si="4"/>
        <v>-5.9859358275458539E-2</v>
      </c>
      <c r="H24" s="39"/>
    </row>
    <row r="25" spans="1:9" s="6" customFormat="1" x14ac:dyDescent="0.15">
      <c r="A25" s="28"/>
      <c r="B25" s="31"/>
      <c r="C25" s="617"/>
      <c r="D25" s="32"/>
      <c r="E25" s="4"/>
      <c r="F25" s="32"/>
      <c r="G25" s="29"/>
      <c r="H25" s="3"/>
      <c r="I25" s="30"/>
    </row>
    <row r="26" spans="1:9" s="6" customFormat="1" x14ac:dyDescent="0.15">
      <c r="A26" s="28"/>
      <c r="B26" s="31" t="s">
        <v>17</v>
      </c>
      <c r="C26" s="617"/>
      <c r="D26" s="41">
        <v>-12746</v>
      </c>
      <c r="E26" s="42">
        <v>-37350</v>
      </c>
      <c r="F26" s="41">
        <f t="shared" ref="F26:F27" si="6">D26-E26</f>
        <v>24604</v>
      </c>
      <c r="G26" s="43">
        <f t="shared" si="4"/>
        <v>0.34125836680053545</v>
      </c>
      <c r="H26" s="3"/>
      <c r="I26" s="30"/>
    </row>
    <row r="27" spans="1:9" s="6" customFormat="1" x14ac:dyDescent="0.15">
      <c r="A27" s="28"/>
      <c r="B27" s="31" t="s">
        <v>18</v>
      </c>
      <c r="C27" s="617"/>
      <c r="D27" s="705">
        <f>11289.56</f>
        <v>11289.56</v>
      </c>
      <c r="E27" s="42">
        <v>25350</v>
      </c>
      <c r="F27" s="41">
        <f t="shared" si="6"/>
        <v>-14060.44</v>
      </c>
      <c r="G27" s="43">
        <f t="shared" si="4"/>
        <v>0.44534753451676529</v>
      </c>
      <c r="H27" s="3"/>
      <c r="I27" s="30"/>
    </row>
    <row r="28" spans="1:9" s="6" customFormat="1" x14ac:dyDescent="0.15">
      <c r="A28" s="28"/>
      <c r="B28" s="38" t="s">
        <v>19</v>
      </c>
      <c r="C28" s="755"/>
      <c r="D28" s="44">
        <f>SUM(D26:D27)</f>
        <v>-1456.4400000000005</v>
      </c>
      <c r="E28" s="44">
        <f t="shared" ref="E28:F28" si="7">SUM(E26:E27)</f>
        <v>-12000</v>
      </c>
      <c r="F28" s="44">
        <f t="shared" si="7"/>
        <v>10543.56</v>
      </c>
      <c r="G28" s="664">
        <f t="shared" si="4"/>
        <v>0.12137000000000005</v>
      </c>
      <c r="H28" s="39"/>
    </row>
    <row r="29" spans="1:9" s="6" customFormat="1" x14ac:dyDescent="0.15">
      <c r="A29" s="28"/>
      <c r="B29" s="31"/>
      <c r="C29" s="617"/>
      <c r="D29" s="32"/>
      <c r="E29" s="4"/>
      <c r="F29" s="32"/>
      <c r="G29" s="29"/>
      <c r="H29" s="3"/>
      <c r="I29" s="30"/>
    </row>
    <row r="30" spans="1:9" s="6" customFormat="1" x14ac:dyDescent="0.15">
      <c r="A30" s="28"/>
      <c r="B30" s="31" t="s">
        <v>20</v>
      </c>
      <c r="C30" s="617"/>
      <c r="D30" s="41">
        <v>-2459</v>
      </c>
      <c r="E30" s="42">
        <v>-13730</v>
      </c>
      <c r="F30" s="41">
        <f t="shared" ref="F30:F31" si="8">D30-E30</f>
        <v>11271</v>
      </c>
      <c r="G30" s="43">
        <f>D30/E30</f>
        <v>0.17909686817188639</v>
      </c>
      <c r="H30" s="3"/>
      <c r="I30" s="30"/>
    </row>
    <row r="31" spans="1:9" s="6" customFormat="1" x14ac:dyDescent="0.15">
      <c r="A31" s="28"/>
      <c r="B31" s="31" t="s">
        <v>21</v>
      </c>
      <c r="C31" s="617"/>
      <c r="D31" s="41">
        <v>1054.82</v>
      </c>
      <c r="E31" s="42">
        <v>12320</v>
      </c>
      <c r="F31" s="41">
        <f t="shared" si="8"/>
        <v>-11265.18</v>
      </c>
      <c r="G31" s="43">
        <f t="shared" si="4"/>
        <v>8.5618506493506483E-2</v>
      </c>
      <c r="H31" s="3"/>
      <c r="I31" s="30"/>
    </row>
    <row r="32" spans="1:9" s="6" customFormat="1" x14ac:dyDescent="0.15">
      <c r="A32" s="28"/>
      <c r="B32" s="38" t="s">
        <v>22</v>
      </c>
      <c r="C32" s="755"/>
      <c r="D32" s="44">
        <f>SUM(D30:D31)</f>
        <v>-1404.18</v>
      </c>
      <c r="E32" s="44">
        <f t="shared" ref="E32:F32" si="9">SUM(E30:E31)</f>
        <v>-1410</v>
      </c>
      <c r="F32" s="44">
        <f t="shared" si="9"/>
        <v>5.819999999999709</v>
      </c>
      <c r="G32" s="664">
        <f t="shared" si="4"/>
        <v>0.99587234042553197</v>
      </c>
      <c r="H32" s="39"/>
    </row>
    <row r="33" spans="1:10" s="6" customFormat="1" x14ac:dyDescent="0.15">
      <c r="A33" s="28"/>
      <c r="B33" s="31"/>
      <c r="C33" s="617"/>
      <c r="D33" s="32"/>
      <c r="E33" s="4"/>
      <c r="F33" s="32"/>
      <c r="G33" s="29"/>
      <c r="H33" s="3"/>
      <c r="I33" s="30"/>
    </row>
    <row r="34" spans="1:10" s="6" customFormat="1" x14ac:dyDescent="0.15">
      <c r="A34" s="28"/>
      <c r="B34" s="31"/>
      <c r="C34" s="617"/>
      <c r="D34" s="32"/>
      <c r="E34" s="4"/>
      <c r="F34" s="32"/>
      <c r="G34" s="29"/>
      <c r="H34" s="3"/>
      <c r="I34" s="30"/>
    </row>
    <row r="35" spans="1:10" s="27" customFormat="1" ht="12" x14ac:dyDescent="0.25">
      <c r="A35" s="22"/>
      <c r="B35" s="23" t="s">
        <v>23</v>
      </c>
      <c r="C35" s="753"/>
      <c r="D35" s="25"/>
      <c r="E35" s="25"/>
      <c r="F35" s="25"/>
      <c r="G35" s="45"/>
      <c r="H35" s="24"/>
      <c r="I35" s="46"/>
    </row>
    <row r="36" spans="1:10" s="6" customFormat="1" x14ac:dyDescent="0.15">
      <c r="A36" s="28"/>
      <c r="B36" s="31"/>
      <c r="C36" s="617"/>
      <c r="D36" s="32"/>
      <c r="E36" s="4"/>
      <c r="F36" s="32"/>
      <c r="G36" s="29"/>
      <c r="H36" s="3"/>
      <c r="I36" s="30"/>
    </row>
    <row r="37" spans="1:10" s="6" customFormat="1" x14ac:dyDescent="0.15">
      <c r="A37" s="28"/>
      <c r="B37" s="31" t="s">
        <v>8</v>
      </c>
      <c r="C37" s="617"/>
      <c r="D37" s="32">
        <v>821.38</v>
      </c>
      <c r="E37" s="32"/>
      <c r="F37" s="32"/>
      <c r="G37" s="29"/>
      <c r="H37" s="3"/>
      <c r="I37" s="30"/>
    </row>
    <row r="38" spans="1:10" s="6" customFormat="1" x14ac:dyDescent="0.15">
      <c r="A38" s="28"/>
      <c r="B38" s="31" t="s">
        <v>9</v>
      </c>
      <c r="C38" s="617"/>
      <c r="D38" s="32">
        <v>-61494.53</v>
      </c>
      <c r="E38" s="32"/>
      <c r="F38" s="32"/>
      <c r="G38" s="29"/>
      <c r="H38" s="3"/>
      <c r="I38" s="30"/>
    </row>
    <row r="39" spans="1:10" s="6" customFormat="1" x14ac:dyDescent="0.15">
      <c r="A39" s="28"/>
      <c r="B39" s="38" t="s">
        <v>10</v>
      </c>
      <c r="C39" s="755"/>
      <c r="D39" s="40">
        <f>SUM(D37:D38)</f>
        <v>-60673.15</v>
      </c>
      <c r="E39" s="40"/>
      <c r="F39" s="40"/>
      <c r="G39" s="662"/>
      <c r="H39" s="39"/>
      <c r="I39" s="30"/>
    </row>
    <row r="40" spans="1:10" s="6" customFormat="1" x14ac:dyDescent="0.15">
      <c r="A40" s="28"/>
      <c r="B40" s="31"/>
      <c r="C40" s="617"/>
      <c r="D40" s="32"/>
      <c r="E40" s="32"/>
      <c r="F40" s="32"/>
      <c r="G40" s="29"/>
      <c r="H40" s="3"/>
      <c r="I40" s="30"/>
    </row>
    <row r="41" spans="1:10" s="6" customFormat="1" x14ac:dyDescent="0.15">
      <c r="A41" s="28"/>
      <c r="B41" s="31" t="s">
        <v>11</v>
      </c>
      <c r="C41" s="617"/>
      <c r="D41" s="32">
        <v>-52671.15</v>
      </c>
      <c r="E41" s="32"/>
      <c r="F41" s="32"/>
      <c r="G41" s="29"/>
      <c r="H41" s="3"/>
      <c r="I41" s="30"/>
    </row>
    <row r="42" spans="1:10" s="6" customFormat="1" x14ac:dyDescent="0.15">
      <c r="A42" s="28"/>
      <c r="B42" s="33" t="s">
        <v>24</v>
      </c>
      <c r="C42" s="754"/>
      <c r="D42" s="35">
        <f>D39+D41</f>
        <v>-113344.3</v>
      </c>
      <c r="E42" s="35"/>
      <c r="F42" s="35"/>
      <c r="G42" s="37"/>
      <c r="H42" s="34"/>
      <c r="I42" s="30"/>
    </row>
    <row r="43" spans="1:10" s="6" customFormat="1" x14ac:dyDescent="0.15">
      <c r="A43" s="28"/>
      <c r="B43" s="31"/>
      <c r="C43" s="617"/>
      <c r="D43" s="32"/>
      <c r="E43" s="32"/>
      <c r="F43" s="32"/>
      <c r="G43" s="29"/>
      <c r="H43" s="3"/>
      <c r="I43" s="30"/>
    </row>
    <row r="44" spans="1:10" s="6" customFormat="1" x14ac:dyDescent="0.15">
      <c r="A44" s="28"/>
      <c r="B44" s="31"/>
      <c r="C44" s="617"/>
      <c r="D44" s="32"/>
      <c r="E44" s="32"/>
      <c r="F44" s="32"/>
      <c r="G44" s="29"/>
      <c r="H44" s="3"/>
      <c r="I44" s="30"/>
    </row>
    <row r="45" spans="1:10" s="1" customFormat="1" x14ac:dyDescent="0.15">
      <c r="A45" s="28"/>
      <c r="B45" s="38" t="s">
        <v>13</v>
      </c>
      <c r="C45" s="756"/>
      <c r="D45" s="40">
        <v>-12315.64</v>
      </c>
      <c r="E45" s="40"/>
      <c r="F45" s="40"/>
      <c r="G45" s="662"/>
      <c r="H45" s="663"/>
      <c r="I45" s="30"/>
      <c r="J45" s="6"/>
    </row>
    <row r="46" spans="1:10" s="48" customFormat="1" x14ac:dyDescent="0.15">
      <c r="A46" s="28"/>
      <c r="B46" s="31"/>
      <c r="C46" s="757"/>
      <c r="D46" s="32"/>
      <c r="E46" s="32"/>
      <c r="F46" s="32"/>
      <c r="G46" s="29"/>
      <c r="H46" s="47"/>
      <c r="I46" s="30"/>
      <c r="J46" s="30"/>
    </row>
    <row r="47" spans="1:10" s="48" customFormat="1" x14ac:dyDescent="0.15">
      <c r="A47" s="28"/>
      <c r="B47" s="31" t="s">
        <v>14</v>
      </c>
      <c r="C47" s="757"/>
      <c r="D47" s="32">
        <v>0</v>
      </c>
      <c r="E47" s="32"/>
      <c r="F47" s="32"/>
      <c r="G47" s="29"/>
      <c r="H47" s="47"/>
      <c r="I47" s="30"/>
      <c r="J47" s="30"/>
    </row>
    <row r="48" spans="1:10" s="48" customFormat="1" x14ac:dyDescent="0.15">
      <c r="A48" s="28"/>
      <c r="B48" s="31" t="s">
        <v>15</v>
      </c>
      <c r="C48" s="757"/>
      <c r="D48" s="32">
        <v>-4863.05</v>
      </c>
      <c r="E48" s="32"/>
      <c r="F48" s="32"/>
      <c r="G48" s="29"/>
      <c r="H48" s="47"/>
      <c r="I48" s="30"/>
      <c r="J48" s="30"/>
    </row>
    <row r="49" spans="1:10" s="1" customFormat="1" x14ac:dyDescent="0.15">
      <c r="A49" s="28"/>
      <c r="B49" s="38" t="s">
        <v>16</v>
      </c>
      <c r="C49" s="756"/>
      <c r="D49" s="40">
        <f>SUM(D47:D48)</f>
        <v>-4863.05</v>
      </c>
      <c r="E49" s="40"/>
      <c r="F49" s="40"/>
      <c r="G49" s="662"/>
      <c r="H49" s="663"/>
      <c r="I49" s="30"/>
      <c r="J49" s="6"/>
    </row>
    <row r="50" spans="1:10" s="48" customFormat="1" x14ac:dyDescent="0.15">
      <c r="A50" s="28"/>
      <c r="B50" s="31"/>
      <c r="C50" s="757"/>
      <c r="D50" s="4"/>
      <c r="E50" s="4"/>
      <c r="F50" s="32"/>
      <c r="G50" s="29"/>
      <c r="H50" s="47"/>
      <c r="I50" s="30"/>
      <c r="J50" s="30"/>
    </row>
    <row r="51" spans="1:10" s="48" customFormat="1" x14ac:dyDescent="0.15">
      <c r="A51" s="28"/>
      <c r="B51" s="31" t="s">
        <v>17</v>
      </c>
      <c r="C51" s="617"/>
      <c r="D51" s="41">
        <v>0</v>
      </c>
      <c r="E51" s="4"/>
      <c r="F51" s="32"/>
      <c r="G51" s="29"/>
      <c r="H51" s="3"/>
      <c r="I51" s="30"/>
      <c r="J51" s="6"/>
    </row>
    <row r="52" spans="1:10" s="48" customFormat="1" x14ac:dyDescent="0.15">
      <c r="A52" s="28"/>
      <c r="B52" s="31" t="s">
        <v>18</v>
      </c>
      <c r="C52" s="617"/>
      <c r="D52" s="41">
        <v>-520.41</v>
      </c>
      <c r="E52" s="4"/>
      <c r="F52" s="32"/>
      <c r="G52" s="29"/>
      <c r="H52" s="3"/>
      <c r="I52" s="30"/>
      <c r="J52" s="6"/>
    </row>
    <row r="53" spans="1:10" s="48" customFormat="1" x14ac:dyDescent="0.15">
      <c r="A53" s="28"/>
      <c r="B53" s="38" t="s">
        <v>19</v>
      </c>
      <c r="C53" s="755"/>
      <c r="D53" s="44">
        <f>SUM(D51:D52)</f>
        <v>-520.41</v>
      </c>
      <c r="E53" s="40"/>
      <c r="F53" s="40"/>
      <c r="G53" s="40"/>
      <c r="H53" s="39"/>
      <c r="I53" s="30"/>
      <c r="J53" s="6"/>
    </row>
    <row r="54" spans="1:10" s="48" customFormat="1" x14ac:dyDescent="0.15">
      <c r="A54" s="28"/>
      <c r="B54" s="31"/>
      <c r="C54" s="617"/>
      <c r="D54" s="32"/>
      <c r="E54" s="4"/>
      <c r="F54" s="32"/>
      <c r="G54" s="29"/>
      <c r="H54" s="3"/>
      <c r="I54" s="30"/>
      <c r="J54" s="6"/>
    </row>
    <row r="55" spans="1:10" s="48" customFormat="1" x14ac:dyDescent="0.15">
      <c r="A55" s="28"/>
      <c r="B55" s="31" t="s">
        <v>20</v>
      </c>
      <c r="C55" s="617"/>
      <c r="D55" s="41">
        <v>20</v>
      </c>
      <c r="E55" s="4"/>
      <c r="F55" s="32"/>
      <c r="G55" s="29"/>
      <c r="H55" s="3"/>
      <c r="I55" s="30"/>
      <c r="J55" s="6"/>
    </row>
    <row r="56" spans="1:10" s="48" customFormat="1" x14ac:dyDescent="0.15">
      <c r="A56" s="28"/>
      <c r="B56" s="31" t="s">
        <v>21</v>
      </c>
      <c r="C56" s="617"/>
      <c r="D56" s="41">
        <v>-701.66</v>
      </c>
      <c r="E56" s="4"/>
      <c r="F56" s="32"/>
      <c r="G56" s="29"/>
      <c r="H56" s="3"/>
      <c r="I56" s="30"/>
      <c r="J56" s="6"/>
    </row>
    <row r="57" spans="1:10" s="48" customFormat="1" x14ac:dyDescent="0.15">
      <c r="A57" s="28"/>
      <c r="B57" s="38" t="s">
        <v>22</v>
      </c>
      <c r="C57" s="755"/>
      <c r="D57" s="44">
        <f>SUM(D55:D56)</f>
        <v>-681.66</v>
      </c>
      <c r="E57" s="40"/>
      <c r="F57" s="40"/>
      <c r="G57" s="40"/>
      <c r="H57" s="39"/>
      <c r="I57" s="30"/>
      <c r="J57" s="6"/>
    </row>
    <row r="58" spans="1:10" s="48" customFormat="1" x14ac:dyDescent="0.15">
      <c r="A58" s="28"/>
      <c r="B58" s="31"/>
      <c r="C58" s="757"/>
      <c r="D58" s="4"/>
      <c r="E58" s="4"/>
      <c r="F58" s="32"/>
      <c r="G58" s="29"/>
      <c r="H58" s="47"/>
      <c r="I58" s="30"/>
      <c r="J58" s="6"/>
    </row>
    <row r="59" spans="1:10" s="48" customFormat="1" x14ac:dyDescent="0.15">
      <c r="A59" s="28"/>
      <c r="B59" s="31"/>
      <c r="C59" s="757"/>
      <c r="D59" s="4"/>
      <c r="E59" s="4"/>
      <c r="F59" s="32"/>
      <c r="G59" s="29"/>
      <c r="H59" s="47"/>
      <c r="I59" s="30"/>
      <c r="J59" s="6"/>
    </row>
    <row r="60" spans="1:10" s="52" customFormat="1" ht="12" x14ac:dyDescent="0.25">
      <c r="A60" s="22"/>
      <c r="B60" s="49" t="s">
        <v>25</v>
      </c>
      <c r="C60" s="758"/>
      <c r="D60" s="51"/>
      <c r="E60" s="25"/>
      <c r="F60" s="25"/>
      <c r="G60" s="45"/>
      <c r="H60" s="50"/>
      <c r="I60" s="46"/>
      <c r="J60" s="27"/>
    </row>
    <row r="61" spans="1:10" s="48" customFormat="1" x14ac:dyDescent="0.15">
      <c r="A61" s="28"/>
      <c r="B61" s="6"/>
      <c r="C61" s="757"/>
      <c r="D61" s="53"/>
      <c r="E61" s="4"/>
      <c r="F61" s="4"/>
      <c r="G61" s="29"/>
      <c r="H61" s="47"/>
      <c r="I61" s="30"/>
      <c r="J61" s="30"/>
    </row>
    <row r="62" spans="1:10" s="48" customFormat="1" x14ac:dyDescent="0.15">
      <c r="A62" s="28"/>
      <c r="B62" s="30" t="s">
        <v>26</v>
      </c>
      <c r="C62" s="757"/>
      <c r="D62" s="54"/>
      <c r="E62" s="4"/>
      <c r="F62" s="32">
        <v>341581.63</v>
      </c>
      <c r="G62" s="29"/>
      <c r="H62" s="47"/>
    </row>
    <row r="63" spans="1:10" s="48" customFormat="1" x14ac:dyDescent="0.15">
      <c r="A63" s="28"/>
      <c r="B63" s="30" t="s">
        <v>648</v>
      </c>
      <c r="C63" s="757"/>
      <c r="D63" s="54"/>
      <c r="E63" s="4"/>
      <c r="F63" s="32">
        <v>904099.64999999991</v>
      </c>
      <c r="G63" s="29"/>
      <c r="H63" s="47"/>
    </row>
    <row r="64" spans="1:10" s="48" customFormat="1" x14ac:dyDescent="0.15">
      <c r="A64" s="28"/>
      <c r="B64" s="55" t="s">
        <v>27</v>
      </c>
      <c r="C64" s="759"/>
      <c r="D64" s="57" t="s">
        <v>28</v>
      </c>
      <c r="E64" s="58"/>
      <c r="F64" s="58">
        <f>SUM(F62:F63)</f>
        <v>1245681.2799999998</v>
      </c>
      <c r="G64" s="59"/>
      <c r="H64" s="56"/>
      <c r="J64" s="1"/>
    </row>
    <row r="65" spans="1:10" s="48" customFormat="1" x14ac:dyDescent="0.15">
      <c r="A65" s="28"/>
      <c r="B65" s="6"/>
      <c r="C65" s="760"/>
      <c r="D65" s="53"/>
      <c r="E65" s="4"/>
      <c r="F65" s="4"/>
      <c r="G65" s="29"/>
      <c r="H65" s="60"/>
    </row>
    <row r="66" spans="1:10" s="48" customFormat="1" x14ac:dyDescent="0.15">
      <c r="A66" s="28"/>
      <c r="B66" s="30" t="s">
        <v>29</v>
      </c>
      <c r="C66" s="757"/>
      <c r="D66" s="54" t="s">
        <v>28</v>
      </c>
      <c r="E66" s="4"/>
      <c r="F66" s="32">
        <v>321758.40000000002</v>
      </c>
      <c r="G66" s="29"/>
      <c r="H66" s="47"/>
    </row>
    <row r="67" spans="1:10" s="48" customFormat="1" x14ac:dyDescent="0.15">
      <c r="A67" s="28"/>
      <c r="B67" s="30" t="s">
        <v>29</v>
      </c>
      <c r="D67" s="54" t="s">
        <v>30</v>
      </c>
      <c r="E67" s="61"/>
      <c r="F67" s="32">
        <v>27350.89</v>
      </c>
      <c r="G67" s="29"/>
    </row>
    <row r="68" spans="1:10" s="48" customFormat="1" x14ac:dyDescent="0.15">
      <c r="A68" s="28"/>
      <c r="B68" s="30" t="s">
        <v>29</v>
      </c>
      <c r="D68" s="54" t="s">
        <v>31</v>
      </c>
      <c r="E68" s="61"/>
      <c r="F68" s="32">
        <v>666.86</v>
      </c>
      <c r="G68" s="29"/>
    </row>
    <row r="69" spans="1:10" s="48" customFormat="1" x14ac:dyDescent="0.15">
      <c r="A69" s="28"/>
      <c r="B69" s="55" t="s">
        <v>32</v>
      </c>
      <c r="C69" s="62"/>
      <c r="D69" s="63" t="s">
        <v>33</v>
      </c>
      <c r="E69" s="64"/>
      <c r="F69" s="58">
        <f>SUM(F66:F68)</f>
        <v>349776.15</v>
      </c>
      <c r="G69" s="59"/>
      <c r="H69" s="62"/>
    </row>
    <row r="70" spans="1:10" s="48" customFormat="1" x14ac:dyDescent="0.15">
      <c r="A70" s="28"/>
      <c r="B70" s="30"/>
      <c r="D70" s="54"/>
      <c r="E70" s="61"/>
      <c r="F70" s="65"/>
      <c r="G70" s="29"/>
    </row>
    <row r="71" spans="1:10" s="48" customFormat="1" x14ac:dyDescent="0.15">
      <c r="A71" s="28"/>
      <c r="B71" s="66" t="s">
        <v>34</v>
      </c>
      <c r="C71" s="67"/>
      <c r="D71" s="68"/>
      <c r="E71" s="68"/>
      <c r="F71" s="69">
        <f>F64+F69</f>
        <v>1595457.4299999997</v>
      </c>
      <c r="G71" s="36"/>
      <c r="H71" s="67"/>
    </row>
    <row r="72" spans="1:10" s="48" customFormat="1" x14ac:dyDescent="0.15">
      <c r="A72" s="28"/>
      <c r="B72" s="30"/>
      <c r="D72" s="65"/>
      <c r="E72" s="61"/>
      <c r="F72" s="65"/>
      <c r="G72" s="29"/>
    </row>
    <row r="73" spans="1:10" s="1" customFormat="1" x14ac:dyDescent="0.15">
      <c r="A73" s="28"/>
      <c r="B73" s="48"/>
      <c r="C73" s="48"/>
      <c r="D73" s="32"/>
      <c r="E73" s="4"/>
      <c r="F73" s="32"/>
      <c r="G73" s="29"/>
      <c r="H73" s="48"/>
      <c r="I73" s="48"/>
      <c r="J73" s="48"/>
    </row>
    <row r="74" spans="1:10" s="1" customFormat="1" x14ac:dyDescent="0.15">
      <c r="A74" s="28"/>
      <c r="B74" s="48"/>
      <c r="C74" s="48"/>
      <c r="D74" s="32"/>
      <c r="E74" s="4"/>
      <c r="F74" s="32"/>
      <c r="G74" s="29"/>
      <c r="H74" s="48"/>
      <c r="I74" s="48"/>
      <c r="J74" s="48"/>
    </row>
    <row r="75" spans="1:10" s="1" customFormat="1" x14ac:dyDescent="0.15">
      <c r="A75" s="28"/>
      <c r="B75" s="48"/>
      <c r="C75" s="48"/>
      <c r="D75" s="32"/>
      <c r="E75" s="4"/>
      <c r="F75" s="32"/>
      <c r="G75" s="29"/>
      <c r="H75" s="48"/>
      <c r="I75" s="48"/>
      <c r="J75" s="48"/>
    </row>
    <row r="76" spans="1:10" s="1" customFormat="1" x14ac:dyDescent="0.15">
      <c r="A76" s="28"/>
      <c r="B76" s="48"/>
      <c r="C76" s="48"/>
      <c r="D76" s="32"/>
      <c r="E76" s="4"/>
      <c r="F76" s="32"/>
      <c r="G76" s="29"/>
      <c r="H76" s="48"/>
      <c r="I76" s="48"/>
      <c r="J76" s="48"/>
    </row>
    <row r="77" spans="1:10" s="1" customFormat="1" x14ac:dyDescent="0.15">
      <c r="A77" s="28"/>
      <c r="B77" s="48"/>
      <c r="C77" s="48"/>
      <c r="D77" s="32"/>
      <c r="E77" s="4"/>
      <c r="F77" s="32"/>
      <c r="G77" s="29"/>
      <c r="H77" s="48"/>
      <c r="I77" s="48"/>
      <c r="J77" s="48"/>
    </row>
    <row r="78" spans="1:10" s="1" customFormat="1" x14ac:dyDescent="0.15">
      <c r="A78" s="28"/>
      <c r="B78" s="48"/>
      <c r="C78" s="48"/>
      <c r="D78" s="32"/>
      <c r="E78" s="4"/>
      <c r="F78" s="32"/>
      <c r="G78" s="29"/>
      <c r="H78" s="48"/>
      <c r="I78" s="48"/>
      <c r="J78" s="48"/>
    </row>
    <row r="79" spans="1:10" s="1" customFormat="1" x14ac:dyDescent="0.15">
      <c r="A79" s="28"/>
      <c r="B79" s="48"/>
      <c r="C79" s="48"/>
      <c r="D79" s="32"/>
      <c r="E79" s="4"/>
      <c r="F79" s="32"/>
      <c r="G79" s="29"/>
      <c r="H79" s="48"/>
      <c r="I79" s="48"/>
      <c r="J79" s="48"/>
    </row>
    <row r="80" spans="1:10" s="1" customFormat="1" x14ac:dyDescent="0.15">
      <c r="A80" s="28"/>
      <c r="B80" s="48"/>
      <c r="C80" s="48"/>
      <c r="D80" s="32"/>
      <c r="E80" s="4"/>
      <c r="F80" s="32"/>
      <c r="G80" s="29"/>
      <c r="H80" s="48"/>
      <c r="I80" s="48"/>
      <c r="J80" s="48"/>
    </row>
    <row r="81" spans="1:10" s="1" customFormat="1" x14ac:dyDescent="0.15">
      <c r="A81" s="28"/>
      <c r="B81" s="48"/>
      <c r="C81" s="48"/>
      <c r="D81" s="32"/>
      <c r="E81" s="4"/>
      <c r="F81" s="32"/>
      <c r="G81" s="29"/>
      <c r="H81" s="48"/>
      <c r="I81" s="48"/>
      <c r="J81" s="48"/>
    </row>
    <row r="82" spans="1:10" x14ac:dyDescent="0.15">
      <c r="B82" s="48"/>
      <c r="C82" s="48"/>
      <c r="D82" s="32"/>
      <c r="H82" s="48"/>
      <c r="I82" s="48"/>
      <c r="J82" s="48"/>
    </row>
    <row r="83" spans="1:10" x14ac:dyDescent="0.15">
      <c r="B83" s="48"/>
      <c r="C83" s="48"/>
      <c r="D83" s="32"/>
      <c r="H83" s="48"/>
      <c r="I83" s="48"/>
      <c r="J83" s="1"/>
    </row>
    <row r="84" spans="1:10" x14ac:dyDescent="0.15">
      <c r="B84" s="48"/>
      <c r="C84" s="48"/>
      <c r="D84" s="32"/>
      <c r="H84" s="48"/>
    </row>
    <row r="85" spans="1:10" x14ac:dyDescent="0.15">
      <c r="B85" s="48"/>
      <c r="C85" s="48"/>
      <c r="D85" s="32"/>
      <c r="H85" s="48"/>
    </row>
    <row r="86" spans="1:10" x14ac:dyDescent="0.15">
      <c r="B86" s="48"/>
      <c r="C86" s="48"/>
      <c r="D86" s="32"/>
      <c r="H86" s="48"/>
    </row>
    <row r="87" spans="1:10" x14ac:dyDescent="0.15">
      <c r="B87" s="48"/>
      <c r="C87" s="48"/>
      <c r="D87" s="32"/>
      <c r="H87" s="48"/>
    </row>
    <row r="88" spans="1:10" x14ac:dyDescent="0.15">
      <c r="B88" s="48"/>
      <c r="C88" s="48"/>
      <c r="D88" s="32"/>
      <c r="H88" s="48"/>
      <c r="I88" s="70"/>
      <c r="J88" s="70"/>
    </row>
    <row r="89" spans="1:10" x14ac:dyDescent="0.15">
      <c r="B89" s="48"/>
      <c r="C89" s="48"/>
      <c r="D89" s="32"/>
      <c r="H89" s="48"/>
      <c r="I89" s="70"/>
      <c r="J89" s="70"/>
    </row>
    <row r="90" spans="1:10" x14ac:dyDescent="0.15">
      <c r="B90" s="48"/>
      <c r="C90" s="48"/>
      <c r="D90" s="32"/>
      <c r="H90" s="48"/>
      <c r="I90" s="70"/>
      <c r="J90" s="70"/>
    </row>
    <row r="91" spans="1:10" x14ac:dyDescent="0.15">
      <c r="B91" s="48"/>
      <c r="C91" s="48"/>
      <c r="D91" s="32"/>
      <c r="H91" s="48"/>
      <c r="I91" s="70"/>
      <c r="J91" s="70"/>
    </row>
    <row r="92" spans="1:10" x14ac:dyDescent="0.15">
      <c r="B92" s="48"/>
      <c r="C92" s="48"/>
      <c r="D92" s="32"/>
      <c r="H92" s="48"/>
      <c r="I92" s="70"/>
      <c r="J92" s="70"/>
    </row>
    <row r="93" spans="1:10" x14ac:dyDescent="0.15">
      <c r="D93" s="32"/>
      <c r="F93" s="4"/>
      <c r="I93" s="70"/>
      <c r="J93" s="70"/>
    </row>
    <row r="94" spans="1:10" x14ac:dyDescent="0.15">
      <c r="D94" s="32"/>
      <c r="F94" s="4"/>
      <c r="I94" s="70"/>
      <c r="J94" s="70"/>
    </row>
    <row r="95" spans="1:10" x14ac:dyDescent="0.15">
      <c r="D95" s="32"/>
      <c r="F95" s="4"/>
      <c r="I95" s="70"/>
      <c r="J95" s="70"/>
    </row>
    <row r="96" spans="1:10" x14ac:dyDescent="0.15">
      <c r="D96" s="32"/>
      <c r="F96" s="4"/>
    </row>
    <row r="97" spans="1:10" s="29" customFormat="1" x14ac:dyDescent="0.15">
      <c r="A97" s="28"/>
      <c r="B97" s="31"/>
      <c r="C97" s="757"/>
      <c r="D97" s="32"/>
      <c r="E97" s="4"/>
      <c r="F97" s="4"/>
      <c r="H97" s="47"/>
      <c r="I97" s="30"/>
      <c r="J97" s="30"/>
    </row>
    <row r="98" spans="1:10" s="29" customFormat="1" x14ac:dyDescent="0.15">
      <c r="A98" s="28"/>
      <c r="B98" s="31"/>
      <c r="C98" s="757"/>
      <c r="D98" s="32"/>
      <c r="E98" s="4"/>
      <c r="F98" s="4"/>
      <c r="H98" s="47"/>
      <c r="I98" s="30"/>
      <c r="J98" s="30"/>
    </row>
  </sheetData>
  <pageMargins left="0.35" right="0.3" top="0.55000000000000004" bottom="0.4" header="0.3" footer="0.25"/>
  <pageSetup orientation="portrait" errors="blank" r:id="rId1"/>
  <headerFooter>
    <oddFooter>&amp;L&amp;"Arial,Regular"&amp;6Page &amp;P - As of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E776-3CA7-4F86-94C8-0F30EA733170}">
  <sheetPr codeName="Sheet2">
    <tabColor rgb="FF7030A0"/>
  </sheetPr>
  <dimension ref="A1:F46"/>
  <sheetViews>
    <sheetView zoomScale="115" zoomScaleNormal="115" zoomScaleSheetLayoutView="115" workbookViewId="0"/>
  </sheetViews>
  <sheetFormatPr defaultColWidth="14.140625" defaultRowHeight="10.199999999999999" x14ac:dyDescent="0.2"/>
  <cols>
    <col min="1" max="1" width="4.85546875" style="83" customWidth="1"/>
    <col min="2" max="2" width="23.7109375" style="84" customWidth="1"/>
    <col min="3" max="3" width="2.5703125" style="85" customWidth="1"/>
    <col min="4" max="4" width="90.7109375" style="82" customWidth="1"/>
    <col min="5" max="5" width="14.140625" style="83"/>
    <col min="6" max="6" width="14.42578125" style="82" customWidth="1"/>
    <col min="7" max="16384" width="14.140625" style="83"/>
  </cols>
  <sheetData>
    <row r="1" spans="1:6" s="73" customFormat="1" x14ac:dyDescent="0.2">
      <c r="A1" s="71"/>
      <c r="B1" s="72"/>
      <c r="D1" s="74" t="s">
        <v>0</v>
      </c>
      <c r="F1" s="74"/>
    </row>
    <row r="2" spans="1:6" s="766" customFormat="1" ht="12" x14ac:dyDescent="0.25">
      <c r="A2" s="764"/>
      <c r="B2" s="765"/>
      <c r="D2" s="767" t="s">
        <v>659</v>
      </c>
      <c r="F2" s="767"/>
    </row>
    <row r="3" spans="1:6" s="77" customFormat="1" x14ac:dyDescent="0.2">
      <c r="A3" s="75"/>
      <c r="B3" s="76"/>
      <c r="D3" s="78">
        <v>45323</v>
      </c>
      <c r="F3" s="78"/>
    </row>
    <row r="4" spans="1:6" s="79" customFormat="1" x14ac:dyDescent="0.2">
      <c r="B4" s="80"/>
      <c r="C4" s="81"/>
      <c r="D4" s="82"/>
      <c r="F4" s="82"/>
    </row>
    <row r="5" spans="1:6" x14ac:dyDescent="0.2">
      <c r="C5" s="81"/>
    </row>
    <row r="6" spans="1:6" s="79" customFormat="1" x14ac:dyDescent="0.2">
      <c r="B6" s="84"/>
      <c r="C6" s="85"/>
      <c r="D6" s="82"/>
      <c r="F6" s="82"/>
    </row>
    <row r="7" spans="1:6" s="79" customFormat="1" x14ac:dyDescent="0.2">
      <c r="B7" s="84" t="s">
        <v>35</v>
      </c>
      <c r="C7" s="85"/>
      <c r="D7" s="82" t="s">
        <v>700</v>
      </c>
    </row>
    <row r="8" spans="1:6" s="79" customFormat="1" x14ac:dyDescent="0.2">
      <c r="B8" s="84"/>
      <c r="C8" s="85"/>
      <c r="D8" s="82"/>
      <c r="F8" s="82"/>
    </row>
    <row r="9" spans="1:6" s="79" customFormat="1" ht="11.4" x14ac:dyDescent="0.2">
      <c r="B9" s="84"/>
      <c r="C9" s="85"/>
      <c r="D9" s="86"/>
      <c r="F9" s="86"/>
    </row>
    <row r="10" spans="1:6" s="79" customFormat="1" x14ac:dyDescent="0.2">
      <c r="B10" s="84" t="s">
        <v>36</v>
      </c>
      <c r="C10" s="85"/>
      <c r="D10" s="82" t="s">
        <v>693</v>
      </c>
    </row>
    <row r="11" spans="1:6" s="79" customFormat="1" x14ac:dyDescent="0.2">
      <c r="B11" s="84"/>
      <c r="C11" s="85"/>
      <c r="D11" s="82" t="s">
        <v>699</v>
      </c>
    </row>
    <row r="12" spans="1:6" s="79" customFormat="1" x14ac:dyDescent="0.2">
      <c r="B12" s="87"/>
      <c r="C12" s="85"/>
      <c r="D12" s="82"/>
      <c r="F12" s="82"/>
    </row>
    <row r="13" spans="1:6" s="79" customFormat="1" x14ac:dyDescent="0.2">
      <c r="B13" s="87"/>
      <c r="C13" s="85"/>
      <c r="D13" s="82"/>
      <c r="F13" s="82"/>
    </row>
    <row r="14" spans="1:6" s="79" customFormat="1" x14ac:dyDescent="0.2">
      <c r="B14" s="84" t="s">
        <v>37</v>
      </c>
      <c r="C14" s="85"/>
      <c r="D14" s="88" t="s">
        <v>695</v>
      </c>
    </row>
    <row r="15" spans="1:6" s="79" customFormat="1" x14ac:dyDescent="0.2">
      <c r="B15" s="84"/>
      <c r="C15" s="85"/>
      <c r="D15" s="88" t="s">
        <v>696</v>
      </c>
    </row>
    <row r="16" spans="1:6" s="79" customFormat="1" x14ac:dyDescent="0.2">
      <c r="B16" s="84"/>
      <c r="C16" s="85"/>
      <c r="D16" s="88" t="s">
        <v>697</v>
      </c>
    </row>
    <row r="18" spans="2:6" x14ac:dyDescent="0.2">
      <c r="D18" s="83"/>
      <c r="F18" s="83"/>
    </row>
    <row r="19" spans="2:6" x14ac:dyDescent="0.2">
      <c r="B19" s="84" t="s">
        <v>38</v>
      </c>
      <c r="D19" s="82" t="s">
        <v>698</v>
      </c>
    </row>
    <row r="20" spans="2:6" x14ac:dyDescent="0.2">
      <c r="D20" s="82" t="s">
        <v>694</v>
      </c>
    </row>
    <row r="21" spans="2:6" ht="11.4" x14ac:dyDescent="0.2">
      <c r="D21" s="86"/>
      <c r="F21" s="86"/>
    </row>
    <row r="23" spans="2:6" x14ac:dyDescent="0.2">
      <c r="B23" s="84" t="s">
        <v>39</v>
      </c>
      <c r="D23" s="82" t="s">
        <v>701</v>
      </c>
    </row>
    <row r="24" spans="2:6" x14ac:dyDescent="0.2">
      <c r="D24" s="82" t="s">
        <v>702</v>
      </c>
    </row>
    <row r="25" spans="2:6" x14ac:dyDescent="0.2">
      <c r="D25" s="82" t="s">
        <v>703</v>
      </c>
    </row>
    <row r="26" spans="2:6" x14ac:dyDescent="0.2">
      <c r="D26" s="82" t="s">
        <v>704</v>
      </c>
    </row>
    <row r="27" spans="2:6" x14ac:dyDescent="0.2">
      <c r="D27" s="82" t="s">
        <v>705</v>
      </c>
    </row>
    <row r="28" spans="2:6" x14ac:dyDescent="0.2">
      <c r="D28" s="82" t="s">
        <v>706</v>
      </c>
    </row>
    <row r="29" spans="2:6" x14ac:dyDescent="0.2">
      <c r="D29" s="82" t="s">
        <v>707</v>
      </c>
    </row>
    <row r="32" spans="2:6" x14ac:dyDescent="0.2">
      <c r="B32" s="84" t="s">
        <v>40</v>
      </c>
      <c r="D32" s="82" t="s">
        <v>708</v>
      </c>
    </row>
    <row r="33" spans="2:4" x14ac:dyDescent="0.2">
      <c r="D33" s="82" t="s">
        <v>710</v>
      </c>
    </row>
    <row r="34" spans="2:4" x14ac:dyDescent="0.2">
      <c r="D34" s="82" t="s">
        <v>709</v>
      </c>
    </row>
    <row r="35" spans="2:4" x14ac:dyDescent="0.2">
      <c r="D35" s="82" t="s">
        <v>711</v>
      </c>
    </row>
    <row r="38" spans="2:4" x14ac:dyDescent="0.2">
      <c r="B38" s="84" t="s">
        <v>41</v>
      </c>
      <c r="D38" s="82" t="s">
        <v>712</v>
      </c>
    </row>
    <row r="39" spans="2:4" x14ac:dyDescent="0.2">
      <c r="D39" s="82" t="s">
        <v>713</v>
      </c>
    </row>
    <row r="42" spans="2:4" x14ac:dyDescent="0.2">
      <c r="B42" s="84" t="s">
        <v>714</v>
      </c>
      <c r="D42" s="82" t="s">
        <v>716</v>
      </c>
    </row>
    <row r="43" spans="2:4" x14ac:dyDescent="0.2">
      <c r="D43" s="82" t="s">
        <v>715</v>
      </c>
    </row>
    <row r="46" spans="2:4" x14ac:dyDescent="0.2">
      <c r="B46" s="84" t="s">
        <v>42</v>
      </c>
    </row>
  </sheetData>
  <pageMargins left="0.5" right="0.3" top="0.6" bottom="0.5" header="0.4" footer="0.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DD73-D904-410A-958F-F284C70A9514}">
  <sheetPr>
    <tabColor rgb="FF7030A0"/>
  </sheetPr>
  <dimension ref="A1:M275"/>
  <sheetViews>
    <sheetView zoomScale="130" zoomScaleNormal="130" zoomScaleSheetLayoutView="130" workbookViewId="0">
      <selection activeCell="D18" sqref="D18"/>
    </sheetView>
  </sheetViews>
  <sheetFormatPr defaultColWidth="9.140625" defaultRowHeight="7.8" x14ac:dyDescent="0.15"/>
  <cols>
    <col min="1" max="1" width="3" style="667" customWidth="1"/>
    <col min="2" max="2" width="36.28515625" style="119" customWidth="1"/>
    <col min="3" max="3" width="13.7109375" style="133" customWidth="1"/>
    <col min="4" max="4" width="13.5703125" style="121" customWidth="1"/>
    <col min="5" max="5" width="12.42578125" style="133" customWidth="1"/>
    <col min="6" max="6" width="12.85546875" style="134" customWidth="1"/>
    <col min="7" max="7" width="5.42578125" style="120" customWidth="1"/>
    <col min="8" max="8" width="11.140625" style="119" customWidth="1"/>
    <col min="9" max="16384" width="9.140625" style="119"/>
  </cols>
  <sheetData>
    <row r="1" spans="1:13" s="93" customFormat="1" x14ac:dyDescent="0.15">
      <c r="A1" s="457"/>
      <c r="B1" s="89" t="s">
        <v>0</v>
      </c>
      <c r="C1" s="90"/>
      <c r="D1" s="91"/>
      <c r="E1" s="90"/>
      <c r="F1" s="92"/>
      <c r="G1" s="91"/>
    </row>
    <row r="2" spans="1:13" s="98" customFormat="1" ht="12" x14ac:dyDescent="0.25">
      <c r="A2" s="462"/>
      <c r="B2" s="94" t="s">
        <v>43</v>
      </c>
      <c r="C2" s="95"/>
      <c r="D2" s="96"/>
      <c r="E2" s="95"/>
      <c r="F2" s="97"/>
      <c r="G2" s="96"/>
    </row>
    <row r="3" spans="1:13" s="103" customFormat="1" ht="10.199999999999999" x14ac:dyDescent="0.2">
      <c r="A3" s="768"/>
      <c r="B3" s="99">
        <v>45323</v>
      </c>
      <c r="C3" s="100"/>
      <c r="D3" s="100"/>
      <c r="E3" s="100"/>
      <c r="F3" s="101"/>
      <c r="G3" s="100"/>
    </row>
    <row r="4" spans="1:13" s="108" customFormat="1" x14ac:dyDescent="0.15">
      <c r="A4" s="665"/>
      <c r="B4" s="104"/>
      <c r="C4" s="105"/>
      <c r="D4" s="105"/>
      <c r="E4" s="105"/>
      <c r="F4" s="106"/>
      <c r="G4" s="107"/>
    </row>
    <row r="5" spans="1:13" s="108" customFormat="1" x14ac:dyDescent="0.15">
      <c r="A5" s="665"/>
      <c r="B5" s="104"/>
      <c r="C5" s="105"/>
      <c r="D5" s="105"/>
      <c r="E5" s="105"/>
      <c r="F5" s="106"/>
      <c r="G5" s="107"/>
    </row>
    <row r="6" spans="1:13" s="108" customFormat="1" ht="10.199999999999999" x14ac:dyDescent="0.2">
      <c r="A6" s="665"/>
      <c r="B6" s="104"/>
      <c r="C6" s="777">
        <f>B3</f>
        <v>45323</v>
      </c>
      <c r="D6" s="777"/>
      <c r="E6" s="777"/>
      <c r="F6" s="777"/>
      <c r="G6" s="107"/>
    </row>
    <row r="7" spans="1:13" s="112" customFormat="1" ht="15.6" x14ac:dyDescent="0.15">
      <c r="A7" s="665"/>
      <c r="B7" s="104"/>
      <c r="C7" s="109" t="s">
        <v>44</v>
      </c>
      <c r="D7" s="109" t="s">
        <v>45</v>
      </c>
      <c r="E7" s="109" t="s">
        <v>46</v>
      </c>
      <c r="F7" s="110" t="s">
        <v>47</v>
      </c>
      <c r="G7" s="111"/>
      <c r="I7" s="108"/>
    </row>
    <row r="8" spans="1:13" s="118" customFormat="1" x14ac:dyDescent="0.15">
      <c r="A8" s="666"/>
      <c r="B8" s="113"/>
      <c r="C8" s="114"/>
      <c r="D8" s="115"/>
      <c r="E8" s="114"/>
      <c r="F8" s="116"/>
      <c r="G8" s="117"/>
      <c r="H8" s="112"/>
      <c r="I8" s="108"/>
      <c r="J8" s="112"/>
      <c r="K8" s="112"/>
      <c r="L8" s="112"/>
      <c r="M8" s="112"/>
    </row>
    <row r="9" spans="1:13" s="118" customFormat="1" x14ac:dyDescent="0.15">
      <c r="A9" s="666"/>
      <c r="B9" s="113"/>
      <c r="C9" s="114"/>
      <c r="D9" s="115"/>
      <c r="E9" s="114"/>
      <c r="F9" s="116"/>
      <c r="G9" s="117"/>
      <c r="H9" s="112"/>
      <c r="I9" s="108"/>
      <c r="J9" s="112"/>
      <c r="K9" s="112"/>
      <c r="L9" s="112"/>
      <c r="M9" s="112"/>
    </row>
    <row r="10" spans="1:13" s="118" customFormat="1" x14ac:dyDescent="0.15">
      <c r="A10" s="666"/>
      <c r="B10" s="113"/>
      <c r="C10" s="114"/>
      <c r="D10" s="115"/>
      <c r="E10" s="114"/>
      <c r="F10" s="116"/>
      <c r="G10" s="117"/>
      <c r="H10" s="112"/>
      <c r="I10" s="108"/>
      <c r="J10" s="112"/>
      <c r="K10" s="112"/>
      <c r="L10" s="112"/>
      <c r="M10" s="112"/>
    </row>
    <row r="11" spans="1:13" s="118" customFormat="1" x14ac:dyDescent="0.15">
      <c r="A11" s="666"/>
      <c r="B11" s="739" t="s">
        <v>38</v>
      </c>
      <c r="C11" s="734"/>
      <c r="D11" s="734"/>
      <c r="E11" s="734"/>
      <c r="F11" s="735"/>
      <c r="G11" s="117"/>
      <c r="H11" s="112"/>
      <c r="I11" s="108"/>
      <c r="J11" s="112"/>
      <c r="K11" s="112"/>
      <c r="L11" s="112"/>
      <c r="M11" s="112"/>
    </row>
    <row r="12" spans="1:13" s="118" customFormat="1" x14ac:dyDescent="0.15">
      <c r="A12" s="666"/>
      <c r="B12" s="704" t="s">
        <v>48</v>
      </c>
      <c r="C12" s="705">
        <f>341550</f>
        <v>341550</v>
      </c>
      <c r="D12" s="705">
        <f>410200</f>
        <v>410200</v>
      </c>
      <c r="E12" s="705">
        <f t="shared" ref="E12:E51" si="0">(C12)-(D12)</f>
        <v>-68650</v>
      </c>
      <c r="F12" s="706">
        <f t="shared" ref="F12:F51" si="1">IF(D12=0,"",(C12)/(D12))</f>
        <v>0.83264261335933687</v>
      </c>
      <c r="G12" s="117"/>
      <c r="H12" s="112"/>
      <c r="I12" s="108"/>
      <c r="J12" s="112"/>
      <c r="K12" s="112"/>
      <c r="L12" s="112"/>
      <c r="M12" s="112"/>
    </row>
    <row r="13" spans="1:13" s="118" customFormat="1" x14ac:dyDescent="0.15">
      <c r="A13" s="666"/>
      <c r="B13" s="704" t="s">
        <v>49</v>
      </c>
      <c r="C13" s="705">
        <f>5700</f>
        <v>5700</v>
      </c>
      <c r="D13" s="705">
        <f>0</f>
        <v>0</v>
      </c>
      <c r="E13" s="705">
        <f t="shared" si="0"/>
        <v>5700</v>
      </c>
      <c r="F13" s="706" t="str">
        <f t="shared" si="1"/>
        <v/>
      </c>
      <c r="G13" s="117"/>
      <c r="H13" s="112"/>
      <c r="I13" s="108"/>
      <c r="J13" s="112"/>
      <c r="K13" s="112"/>
      <c r="L13" s="112"/>
      <c r="M13" s="112"/>
    </row>
    <row r="14" spans="1:13" s="118" customFormat="1" x14ac:dyDescent="0.15">
      <c r="A14" s="666"/>
      <c r="B14" s="704" t="s">
        <v>50</v>
      </c>
      <c r="C14" s="705">
        <f>11400</f>
        <v>11400</v>
      </c>
      <c r="D14" s="705">
        <f>0</f>
        <v>0</v>
      </c>
      <c r="E14" s="705">
        <f t="shared" si="0"/>
        <v>11400</v>
      </c>
      <c r="F14" s="706" t="str">
        <f t="shared" si="1"/>
        <v/>
      </c>
      <c r="G14" s="117"/>
      <c r="H14" s="112"/>
      <c r="I14" s="108"/>
      <c r="J14" s="112"/>
      <c r="K14" s="112"/>
      <c r="L14" s="112"/>
      <c r="M14" s="112"/>
    </row>
    <row r="15" spans="1:13" s="118" customFormat="1" x14ac:dyDescent="0.15">
      <c r="A15" s="666"/>
      <c r="B15" s="704" t="s">
        <v>51</v>
      </c>
      <c r="C15" s="705">
        <f>30875</f>
        <v>30875</v>
      </c>
      <c r="D15" s="705">
        <f>0</f>
        <v>0</v>
      </c>
      <c r="E15" s="705">
        <f t="shared" si="0"/>
        <v>30875</v>
      </c>
      <c r="F15" s="706" t="str">
        <f t="shared" si="1"/>
        <v/>
      </c>
      <c r="G15" s="117"/>
      <c r="H15" s="112"/>
      <c r="I15" s="108"/>
      <c r="J15" s="112"/>
      <c r="K15" s="112"/>
      <c r="L15" s="112"/>
      <c r="M15" s="112"/>
    </row>
    <row r="16" spans="1:13" s="118" customFormat="1" x14ac:dyDescent="0.15">
      <c r="A16" s="666"/>
      <c r="B16" s="740" t="s">
        <v>52</v>
      </c>
      <c r="C16" s="741">
        <f>(((C12)+(C13))+(C14))+(C15)</f>
        <v>389525</v>
      </c>
      <c r="D16" s="741">
        <f>(((D12)+(D13))+(D14))+(D15)</f>
        <v>410200</v>
      </c>
      <c r="E16" s="741">
        <f t="shared" si="0"/>
        <v>-20675</v>
      </c>
      <c r="F16" s="742">
        <f t="shared" si="1"/>
        <v>0.94959775719161388</v>
      </c>
      <c r="G16" s="117"/>
      <c r="H16" s="112"/>
      <c r="I16" s="108"/>
      <c r="J16" s="112"/>
      <c r="K16" s="112"/>
      <c r="L16" s="112"/>
      <c r="M16" s="112"/>
    </row>
    <row r="17" spans="1:13" s="118" customFormat="1" x14ac:dyDescent="0.15">
      <c r="A17" s="666"/>
      <c r="B17" s="761" t="s">
        <v>53</v>
      </c>
      <c r="C17" s="762">
        <f>2040</f>
        <v>2040</v>
      </c>
      <c r="D17" s="762">
        <f>1800</f>
        <v>1800</v>
      </c>
      <c r="E17" s="762">
        <f t="shared" si="0"/>
        <v>240</v>
      </c>
      <c r="F17" s="763">
        <f t="shared" si="1"/>
        <v>1.1333333333333333</v>
      </c>
      <c r="G17" s="117"/>
      <c r="H17" s="112"/>
      <c r="I17" s="108"/>
      <c r="J17" s="112"/>
      <c r="K17" s="112"/>
      <c r="L17" s="112"/>
      <c r="M17" s="112"/>
    </row>
    <row r="18" spans="1:13" s="118" customFormat="1" x14ac:dyDescent="0.15">
      <c r="A18" s="666"/>
      <c r="B18" s="704" t="s">
        <v>54</v>
      </c>
      <c r="C18" s="705">
        <f>22000</f>
        <v>22000</v>
      </c>
      <c r="D18" s="705">
        <f>30000</f>
        <v>30000</v>
      </c>
      <c r="E18" s="705">
        <f t="shared" si="0"/>
        <v>-8000</v>
      </c>
      <c r="F18" s="706">
        <f t="shared" si="1"/>
        <v>0.73333333333333328</v>
      </c>
      <c r="G18" s="117"/>
      <c r="H18" s="112"/>
      <c r="I18" s="108"/>
      <c r="J18" s="112"/>
      <c r="K18" s="112"/>
      <c r="L18" s="112"/>
      <c r="M18" s="112"/>
    </row>
    <row r="19" spans="1:13" s="118" customFormat="1" x14ac:dyDescent="0.15">
      <c r="A19" s="666"/>
      <c r="B19" s="704" t="s">
        <v>55</v>
      </c>
      <c r="C19" s="705">
        <f>0</f>
        <v>0</v>
      </c>
      <c r="D19" s="705">
        <f>4250</f>
        <v>4250</v>
      </c>
      <c r="E19" s="705">
        <f t="shared" si="0"/>
        <v>-4250</v>
      </c>
      <c r="F19" s="706">
        <f t="shared" si="1"/>
        <v>0</v>
      </c>
      <c r="G19" s="117"/>
      <c r="H19" s="112"/>
      <c r="I19" s="108"/>
      <c r="J19" s="112"/>
      <c r="K19" s="112"/>
      <c r="L19" s="112"/>
      <c r="M19" s="112"/>
    </row>
    <row r="20" spans="1:13" s="118" customFormat="1" x14ac:dyDescent="0.15">
      <c r="A20" s="666"/>
      <c r="B20" s="704" t="s">
        <v>56</v>
      </c>
      <c r="C20" s="707"/>
      <c r="D20" s="705">
        <f>0</f>
        <v>0</v>
      </c>
      <c r="E20" s="705">
        <f t="shared" si="0"/>
        <v>0</v>
      </c>
      <c r="F20" s="706" t="str">
        <f t="shared" si="1"/>
        <v/>
      </c>
      <c r="G20" s="117"/>
      <c r="H20" s="112"/>
      <c r="I20" s="108"/>
      <c r="J20" s="112"/>
      <c r="K20" s="112"/>
      <c r="L20" s="112"/>
      <c r="M20" s="112"/>
    </row>
    <row r="21" spans="1:13" s="118" customFormat="1" x14ac:dyDescent="0.15">
      <c r="A21" s="666"/>
      <c r="B21" s="704" t="s">
        <v>57</v>
      </c>
      <c r="C21" s="707"/>
      <c r="D21" s="705">
        <f>0</f>
        <v>0</v>
      </c>
      <c r="E21" s="705">
        <f t="shared" si="0"/>
        <v>0</v>
      </c>
      <c r="F21" s="706" t="str">
        <f t="shared" si="1"/>
        <v/>
      </c>
      <c r="G21" s="117"/>
      <c r="H21" s="112"/>
      <c r="I21" s="108"/>
      <c r="J21" s="112"/>
      <c r="K21" s="112"/>
      <c r="L21" s="112"/>
      <c r="M21" s="112"/>
    </row>
    <row r="22" spans="1:13" s="118" customFormat="1" x14ac:dyDescent="0.15">
      <c r="A22" s="666"/>
      <c r="B22" s="704" t="s">
        <v>58</v>
      </c>
      <c r="C22" s="707"/>
      <c r="D22" s="705">
        <f>9150</f>
        <v>9150</v>
      </c>
      <c r="E22" s="705">
        <f t="shared" si="0"/>
        <v>-9150</v>
      </c>
      <c r="F22" s="706">
        <f t="shared" si="1"/>
        <v>0</v>
      </c>
      <c r="G22" s="117"/>
      <c r="H22" s="112"/>
      <c r="I22" s="108"/>
      <c r="J22" s="112"/>
      <c r="K22" s="112"/>
      <c r="L22" s="112"/>
      <c r="M22" s="112"/>
    </row>
    <row r="23" spans="1:13" s="118" customFormat="1" x14ac:dyDescent="0.15">
      <c r="A23" s="666"/>
      <c r="B23" s="704" t="s">
        <v>59</v>
      </c>
      <c r="C23" s="707"/>
      <c r="D23" s="705">
        <f>0</f>
        <v>0</v>
      </c>
      <c r="E23" s="705">
        <f t="shared" si="0"/>
        <v>0</v>
      </c>
      <c r="F23" s="706" t="str">
        <f t="shared" si="1"/>
        <v/>
      </c>
      <c r="G23" s="117"/>
      <c r="H23" s="112"/>
      <c r="I23" s="108"/>
      <c r="J23" s="112"/>
      <c r="K23" s="112"/>
      <c r="L23" s="112"/>
      <c r="M23" s="112"/>
    </row>
    <row r="24" spans="1:13" s="118" customFormat="1" x14ac:dyDescent="0.15">
      <c r="A24" s="666"/>
      <c r="B24" s="704" t="s">
        <v>60</v>
      </c>
      <c r="C24" s="707"/>
      <c r="D24" s="705">
        <f>0</f>
        <v>0</v>
      </c>
      <c r="E24" s="705">
        <f t="shared" si="0"/>
        <v>0</v>
      </c>
      <c r="F24" s="706" t="str">
        <f t="shared" si="1"/>
        <v/>
      </c>
      <c r="G24" s="117"/>
      <c r="H24" s="112"/>
      <c r="I24" s="108"/>
      <c r="J24" s="112"/>
      <c r="K24" s="112"/>
      <c r="L24" s="112"/>
      <c r="M24" s="112"/>
    </row>
    <row r="25" spans="1:13" s="118" customFormat="1" x14ac:dyDescent="0.15">
      <c r="A25" s="666"/>
      <c r="B25" s="704" t="s">
        <v>61</v>
      </c>
      <c r="C25" s="705">
        <f>79.88</f>
        <v>79.88</v>
      </c>
      <c r="D25" s="705">
        <f>0</f>
        <v>0</v>
      </c>
      <c r="E25" s="705">
        <f t="shared" si="0"/>
        <v>79.88</v>
      </c>
      <c r="F25" s="706" t="str">
        <f t="shared" si="1"/>
        <v/>
      </c>
      <c r="G25" s="117"/>
      <c r="H25" s="112"/>
      <c r="I25" s="108"/>
      <c r="J25" s="112"/>
      <c r="K25" s="112"/>
      <c r="L25" s="112"/>
      <c r="M25" s="112"/>
    </row>
    <row r="26" spans="1:13" s="118" customFormat="1" x14ac:dyDescent="0.15">
      <c r="A26" s="666"/>
      <c r="B26" s="704" t="s">
        <v>62</v>
      </c>
      <c r="C26" s="707"/>
      <c r="D26" s="705">
        <f>0</f>
        <v>0</v>
      </c>
      <c r="E26" s="705">
        <f t="shared" si="0"/>
        <v>0</v>
      </c>
      <c r="F26" s="706" t="str">
        <f t="shared" si="1"/>
        <v/>
      </c>
      <c r="G26" s="117"/>
      <c r="H26" s="112"/>
      <c r="I26" s="108"/>
      <c r="J26" s="112"/>
      <c r="K26" s="112"/>
      <c r="L26" s="112"/>
      <c r="M26" s="112"/>
    </row>
    <row r="27" spans="1:13" s="118" customFormat="1" x14ac:dyDescent="0.15">
      <c r="A27" s="666"/>
      <c r="B27" s="740" t="s">
        <v>63</v>
      </c>
      <c r="C27" s="741">
        <f>((((C22)+(C23))+(C24))+(C25))+(C26)</f>
        <v>79.88</v>
      </c>
      <c r="D27" s="741">
        <f>((((D22)+(D23))+(D24))+(D25))+(D26)</f>
        <v>9150</v>
      </c>
      <c r="E27" s="741">
        <f t="shared" si="0"/>
        <v>-9070.1200000000008</v>
      </c>
      <c r="F27" s="742">
        <f t="shared" si="1"/>
        <v>8.7300546448087421E-3</v>
      </c>
      <c r="G27" s="117"/>
      <c r="H27" s="112"/>
      <c r="I27" s="108"/>
      <c r="J27" s="112"/>
      <c r="K27" s="112"/>
      <c r="L27" s="112"/>
      <c r="M27" s="112"/>
    </row>
    <row r="28" spans="1:13" s="118" customFormat="1" x14ac:dyDescent="0.15">
      <c r="A28" s="666"/>
      <c r="B28" s="704" t="s">
        <v>64</v>
      </c>
      <c r="C28" s="707"/>
      <c r="D28" s="705">
        <f>832370</f>
        <v>832370</v>
      </c>
      <c r="E28" s="705">
        <f t="shared" si="0"/>
        <v>-832370</v>
      </c>
      <c r="F28" s="706">
        <f t="shared" si="1"/>
        <v>0</v>
      </c>
      <c r="G28" s="117"/>
      <c r="H28" s="112"/>
      <c r="I28" s="108"/>
      <c r="J28" s="112"/>
      <c r="K28" s="112"/>
      <c r="L28" s="112"/>
      <c r="M28" s="112"/>
    </row>
    <row r="29" spans="1:13" s="118" customFormat="1" x14ac:dyDescent="0.15">
      <c r="A29" s="666"/>
      <c r="B29" s="704" t="s">
        <v>65</v>
      </c>
      <c r="C29" s="705">
        <f>411576.81</f>
        <v>411576.81</v>
      </c>
      <c r="D29" s="705">
        <f>0</f>
        <v>0</v>
      </c>
      <c r="E29" s="705">
        <f t="shared" si="0"/>
        <v>411576.81</v>
      </c>
      <c r="F29" s="706" t="str">
        <f t="shared" si="1"/>
        <v/>
      </c>
      <c r="G29" s="117"/>
      <c r="H29" s="112"/>
      <c r="I29" s="108"/>
      <c r="J29" s="112"/>
      <c r="K29" s="112"/>
      <c r="L29" s="112"/>
      <c r="M29" s="112"/>
    </row>
    <row r="30" spans="1:13" s="118" customFormat="1" x14ac:dyDescent="0.15">
      <c r="A30" s="666"/>
      <c r="B30" s="704" t="s">
        <v>66</v>
      </c>
      <c r="C30" s="705">
        <f>800</f>
        <v>800</v>
      </c>
      <c r="D30" s="705">
        <f>0</f>
        <v>0</v>
      </c>
      <c r="E30" s="705">
        <f t="shared" si="0"/>
        <v>800</v>
      </c>
      <c r="F30" s="706" t="str">
        <f t="shared" si="1"/>
        <v/>
      </c>
      <c r="G30" s="117"/>
      <c r="H30" s="112"/>
      <c r="I30" s="108"/>
      <c r="J30" s="112"/>
      <c r="K30" s="112"/>
      <c r="L30" s="112"/>
      <c r="M30" s="112"/>
    </row>
    <row r="31" spans="1:13" s="118" customFormat="1" x14ac:dyDescent="0.15">
      <c r="A31" s="666"/>
      <c r="B31" s="704" t="s">
        <v>67</v>
      </c>
      <c r="C31" s="705">
        <f>80</f>
        <v>80</v>
      </c>
      <c r="D31" s="705">
        <f>0</f>
        <v>0</v>
      </c>
      <c r="E31" s="705">
        <f t="shared" si="0"/>
        <v>80</v>
      </c>
      <c r="F31" s="706" t="str">
        <f t="shared" si="1"/>
        <v/>
      </c>
      <c r="G31" s="117"/>
      <c r="H31" s="112"/>
      <c r="I31" s="108"/>
      <c r="J31" s="112"/>
      <c r="K31" s="112"/>
      <c r="L31" s="112"/>
      <c r="M31" s="112"/>
    </row>
    <row r="32" spans="1:13" s="118" customFormat="1" x14ac:dyDescent="0.15">
      <c r="A32" s="666"/>
      <c r="B32" s="704" t="s">
        <v>68</v>
      </c>
      <c r="C32" s="705">
        <f>672</f>
        <v>672</v>
      </c>
      <c r="D32" s="705">
        <f>0</f>
        <v>0</v>
      </c>
      <c r="E32" s="705">
        <f t="shared" si="0"/>
        <v>672</v>
      </c>
      <c r="F32" s="706" t="str">
        <f t="shared" si="1"/>
        <v/>
      </c>
      <c r="G32" s="117"/>
      <c r="H32" s="112"/>
      <c r="I32" s="108"/>
      <c r="J32" s="112"/>
      <c r="K32" s="112"/>
      <c r="L32" s="112"/>
      <c r="M32" s="112"/>
    </row>
    <row r="33" spans="1:13" s="118" customFormat="1" ht="15.6" x14ac:dyDescent="0.15">
      <c r="A33" s="666"/>
      <c r="B33" s="740" t="s">
        <v>69</v>
      </c>
      <c r="C33" s="741">
        <f>((((C28)+(C29))+(C30))+(C31))+(C32)</f>
        <v>413128.81</v>
      </c>
      <c r="D33" s="741">
        <f>((((D28)+(D29))+(D30))+(D31))+(D32)</f>
        <v>832370</v>
      </c>
      <c r="E33" s="741">
        <f t="shared" si="0"/>
        <v>-419241.19</v>
      </c>
      <c r="F33" s="742">
        <f t="shared" si="1"/>
        <v>0.49632832754664391</v>
      </c>
      <c r="G33" s="117"/>
      <c r="H33" s="112"/>
      <c r="I33" s="108"/>
      <c r="J33" s="112"/>
      <c r="K33" s="112"/>
      <c r="L33" s="112"/>
      <c r="M33" s="112"/>
    </row>
    <row r="34" spans="1:13" s="118" customFormat="1" x14ac:dyDescent="0.15">
      <c r="A34" s="666"/>
      <c r="B34" s="704" t="s">
        <v>70</v>
      </c>
      <c r="C34" s="705">
        <f>13897.7</f>
        <v>13897.7</v>
      </c>
      <c r="D34" s="705">
        <f>26840</f>
        <v>26840</v>
      </c>
      <c r="E34" s="705">
        <f t="shared" si="0"/>
        <v>-12942.3</v>
      </c>
      <c r="F34" s="706">
        <f t="shared" si="1"/>
        <v>0.51779806259314454</v>
      </c>
      <c r="G34" s="117"/>
      <c r="H34" s="112"/>
      <c r="I34" s="108"/>
      <c r="J34" s="112"/>
      <c r="K34" s="112"/>
      <c r="L34" s="112"/>
      <c r="M34" s="112"/>
    </row>
    <row r="35" spans="1:13" s="118" customFormat="1" x14ac:dyDescent="0.15">
      <c r="A35" s="666"/>
      <c r="B35" s="704" t="s">
        <v>71</v>
      </c>
      <c r="C35" s="707"/>
      <c r="D35" s="705">
        <f>3255</f>
        <v>3255</v>
      </c>
      <c r="E35" s="705">
        <f t="shared" si="0"/>
        <v>-3255</v>
      </c>
      <c r="F35" s="706">
        <f t="shared" si="1"/>
        <v>0</v>
      </c>
      <c r="G35" s="117"/>
      <c r="H35" s="112"/>
      <c r="I35" s="108"/>
      <c r="J35" s="112"/>
      <c r="K35" s="112"/>
      <c r="L35" s="112"/>
      <c r="M35" s="112"/>
    </row>
    <row r="36" spans="1:13" s="118" customFormat="1" x14ac:dyDescent="0.15">
      <c r="A36" s="666"/>
      <c r="B36" s="704" t="s">
        <v>72</v>
      </c>
      <c r="C36" s="705">
        <f>6299.67</f>
        <v>6299.67</v>
      </c>
      <c r="D36" s="705">
        <f>20000</f>
        <v>20000</v>
      </c>
      <c r="E36" s="705">
        <f t="shared" si="0"/>
        <v>-13700.33</v>
      </c>
      <c r="F36" s="706">
        <f t="shared" si="1"/>
        <v>0.31498350000000003</v>
      </c>
      <c r="G36" s="117"/>
      <c r="H36" s="112"/>
      <c r="I36" s="108"/>
      <c r="J36" s="112"/>
      <c r="K36" s="112"/>
      <c r="L36" s="112"/>
      <c r="M36" s="112"/>
    </row>
    <row r="37" spans="1:13" s="118" customFormat="1" x14ac:dyDescent="0.15">
      <c r="A37" s="666"/>
      <c r="B37" s="704" t="s">
        <v>73</v>
      </c>
      <c r="C37" s="707"/>
      <c r="D37" s="705">
        <f>0</f>
        <v>0</v>
      </c>
      <c r="E37" s="705">
        <f t="shared" si="0"/>
        <v>0</v>
      </c>
      <c r="F37" s="706" t="str">
        <f t="shared" si="1"/>
        <v/>
      </c>
      <c r="G37" s="117"/>
      <c r="H37" s="112"/>
      <c r="I37" s="108"/>
      <c r="J37" s="112"/>
      <c r="K37" s="112"/>
      <c r="L37" s="112"/>
      <c r="M37" s="112"/>
    </row>
    <row r="38" spans="1:13" s="118" customFormat="1" x14ac:dyDescent="0.15">
      <c r="A38" s="666"/>
      <c r="B38" s="704" t="s">
        <v>74</v>
      </c>
      <c r="C38" s="707"/>
      <c r="D38" s="705">
        <f>0</f>
        <v>0</v>
      </c>
      <c r="E38" s="705">
        <f t="shared" si="0"/>
        <v>0</v>
      </c>
      <c r="F38" s="706" t="str">
        <f t="shared" si="1"/>
        <v/>
      </c>
      <c r="G38" s="117"/>
      <c r="H38" s="112"/>
      <c r="I38" s="108"/>
      <c r="J38" s="112"/>
      <c r="K38" s="112"/>
      <c r="L38" s="112"/>
      <c r="M38" s="112"/>
    </row>
    <row r="39" spans="1:13" s="118" customFormat="1" x14ac:dyDescent="0.15">
      <c r="A39" s="666"/>
      <c r="B39" s="704" t="s">
        <v>75</v>
      </c>
      <c r="C39" s="707"/>
      <c r="D39" s="705">
        <f>16000</f>
        <v>16000</v>
      </c>
      <c r="E39" s="705">
        <f t="shared" si="0"/>
        <v>-16000</v>
      </c>
      <c r="F39" s="706">
        <f t="shared" si="1"/>
        <v>0</v>
      </c>
      <c r="G39" s="117"/>
      <c r="H39" s="112"/>
      <c r="I39" s="108"/>
      <c r="J39" s="112"/>
      <c r="K39" s="112"/>
      <c r="L39" s="112"/>
      <c r="M39" s="112"/>
    </row>
    <row r="40" spans="1:13" s="118" customFormat="1" x14ac:dyDescent="0.15">
      <c r="A40" s="666"/>
      <c r="B40" s="704" t="s">
        <v>76</v>
      </c>
      <c r="C40" s="705">
        <f>7161</f>
        <v>7161</v>
      </c>
      <c r="D40" s="705">
        <f>0</f>
        <v>0</v>
      </c>
      <c r="E40" s="705">
        <f t="shared" si="0"/>
        <v>7161</v>
      </c>
      <c r="F40" s="706" t="str">
        <f t="shared" si="1"/>
        <v/>
      </c>
      <c r="G40" s="117"/>
      <c r="H40" s="112"/>
      <c r="I40" s="108"/>
      <c r="J40" s="112"/>
      <c r="K40" s="112"/>
      <c r="L40" s="112"/>
      <c r="M40" s="112"/>
    </row>
    <row r="41" spans="1:13" s="118" customFormat="1" x14ac:dyDescent="0.15">
      <c r="A41" s="666"/>
      <c r="B41" s="704" t="s">
        <v>77</v>
      </c>
      <c r="C41" s="705">
        <f>371</f>
        <v>371</v>
      </c>
      <c r="D41" s="705">
        <f>0</f>
        <v>0</v>
      </c>
      <c r="E41" s="705">
        <f t="shared" si="0"/>
        <v>371</v>
      </c>
      <c r="F41" s="706" t="str">
        <f t="shared" si="1"/>
        <v/>
      </c>
      <c r="G41" s="117"/>
      <c r="H41" s="112"/>
      <c r="I41" s="108"/>
      <c r="J41" s="112"/>
      <c r="K41" s="112"/>
      <c r="L41" s="112"/>
      <c r="M41" s="112"/>
    </row>
    <row r="42" spans="1:13" s="118" customFormat="1" x14ac:dyDescent="0.15">
      <c r="A42" s="666"/>
      <c r="B42" s="740" t="s">
        <v>78</v>
      </c>
      <c r="C42" s="741">
        <f>((C39)+(C40))+(C41)</f>
        <v>7532</v>
      </c>
      <c r="D42" s="741">
        <f>((D39)+(D40))+(D41)</f>
        <v>16000</v>
      </c>
      <c r="E42" s="741">
        <f t="shared" si="0"/>
        <v>-8468</v>
      </c>
      <c r="F42" s="742">
        <f t="shared" si="1"/>
        <v>0.47075</v>
      </c>
      <c r="G42" s="117"/>
      <c r="H42" s="112"/>
      <c r="I42" s="108"/>
      <c r="J42" s="112"/>
      <c r="K42" s="112"/>
      <c r="L42" s="112"/>
      <c r="M42" s="112"/>
    </row>
    <row r="43" spans="1:13" s="118" customFormat="1" x14ac:dyDescent="0.15">
      <c r="A43" s="666"/>
      <c r="B43" s="704" t="s">
        <v>79</v>
      </c>
      <c r="C43" s="705">
        <f>-168</f>
        <v>-168</v>
      </c>
      <c r="D43" s="705">
        <f>0</f>
        <v>0</v>
      </c>
      <c r="E43" s="705">
        <f t="shared" si="0"/>
        <v>-168</v>
      </c>
      <c r="F43" s="706" t="str">
        <f t="shared" si="1"/>
        <v/>
      </c>
      <c r="G43" s="117"/>
      <c r="H43" s="112"/>
      <c r="I43" s="108"/>
      <c r="J43" s="112"/>
      <c r="K43" s="112"/>
      <c r="L43" s="112"/>
      <c r="M43" s="112"/>
    </row>
    <row r="44" spans="1:13" s="118" customFormat="1" x14ac:dyDescent="0.15">
      <c r="A44" s="666"/>
      <c r="B44" s="704" t="s">
        <v>80</v>
      </c>
      <c r="C44" s="707"/>
      <c r="D44" s="705">
        <f>0</f>
        <v>0</v>
      </c>
      <c r="E44" s="705">
        <f t="shared" si="0"/>
        <v>0</v>
      </c>
      <c r="F44" s="706" t="str">
        <f t="shared" si="1"/>
        <v/>
      </c>
      <c r="G44" s="117"/>
      <c r="H44" s="112"/>
      <c r="I44" s="108"/>
      <c r="J44" s="112"/>
      <c r="K44" s="112"/>
      <c r="L44" s="112"/>
      <c r="M44" s="112"/>
    </row>
    <row r="45" spans="1:13" s="118" customFormat="1" x14ac:dyDescent="0.15">
      <c r="A45" s="666"/>
      <c r="B45" s="704" t="s">
        <v>81</v>
      </c>
      <c r="C45" s="707"/>
      <c r="D45" s="705">
        <f>0</f>
        <v>0</v>
      </c>
      <c r="E45" s="705">
        <f t="shared" si="0"/>
        <v>0</v>
      </c>
      <c r="F45" s="706" t="str">
        <f t="shared" si="1"/>
        <v/>
      </c>
      <c r="G45" s="117"/>
      <c r="H45" s="112"/>
      <c r="I45" s="108"/>
      <c r="J45" s="112"/>
      <c r="K45" s="112"/>
      <c r="L45" s="112"/>
      <c r="M45" s="112"/>
    </row>
    <row r="46" spans="1:13" s="118" customFormat="1" x14ac:dyDescent="0.15">
      <c r="A46" s="666"/>
      <c r="B46" s="704" t="s">
        <v>82</v>
      </c>
      <c r="C46" s="707"/>
      <c r="D46" s="705">
        <f>0</f>
        <v>0</v>
      </c>
      <c r="E46" s="705">
        <f t="shared" si="0"/>
        <v>0</v>
      </c>
      <c r="F46" s="706" t="str">
        <f t="shared" si="1"/>
        <v/>
      </c>
      <c r="G46" s="117"/>
      <c r="H46" s="112"/>
      <c r="I46" s="108"/>
      <c r="J46" s="112"/>
      <c r="K46" s="112"/>
      <c r="L46" s="112"/>
      <c r="M46" s="112"/>
    </row>
    <row r="47" spans="1:13" s="118" customFormat="1" x14ac:dyDescent="0.15">
      <c r="A47" s="666"/>
      <c r="B47" s="704" t="s">
        <v>83</v>
      </c>
      <c r="C47" s="707"/>
      <c r="D47" s="705">
        <f>0</f>
        <v>0</v>
      </c>
      <c r="E47" s="705">
        <f t="shared" si="0"/>
        <v>0</v>
      </c>
      <c r="F47" s="706" t="str">
        <f t="shared" si="1"/>
        <v/>
      </c>
      <c r="G47" s="117"/>
      <c r="H47" s="112"/>
      <c r="I47" s="108"/>
      <c r="J47" s="112"/>
      <c r="K47" s="112"/>
      <c r="L47" s="112"/>
      <c r="M47" s="112"/>
    </row>
    <row r="48" spans="1:13" s="118" customFormat="1" x14ac:dyDescent="0.15">
      <c r="A48" s="666"/>
      <c r="B48" s="740" t="s">
        <v>84</v>
      </c>
      <c r="C48" s="741">
        <f>(((C44)+(C45))+(C46))+(C47)</f>
        <v>0</v>
      </c>
      <c r="D48" s="741">
        <f>(((D44)+(D45))+(D46))+(D47)</f>
        <v>0</v>
      </c>
      <c r="E48" s="741">
        <f t="shared" si="0"/>
        <v>0</v>
      </c>
      <c r="F48" s="742" t="str">
        <f t="shared" si="1"/>
        <v/>
      </c>
      <c r="G48" s="117"/>
      <c r="H48" s="112"/>
      <c r="I48" s="108"/>
      <c r="J48" s="112"/>
      <c r="K48" s="112"/>
      <c r="L48" s="112"/>
      <c r="M48" s="112"/>
    </row>
    <row r="49" spans="1:13" s="118" customFormat="1" x14ac:dyDescent="0.15">
      <c r="A49" s="666"/>
      <c r="B49" s="704" t="s">
        <v>85</v>
      </c>
      <c r="C49" s="705">
        <f>3150</f>
        <v>3150</v>
      </c>
      <c r="D49" s="705">
        <f>3500</f>
        <v>3500</v>
      </c>
      <c r="E49" s="705">
        <f t="shared" si="0"/>
        <v>-350</v>
      </c>
      <c r="F49" s="706">
        <f t="shared" si="1"/>
        <v>0.9</v>
      </c>
      <c r="G49" s="117"/>
      <c r="H49" s="112"/>
      <c r="I49" s="108"/>
      <c r="J49" s="112"/>
      <c r="K49" s="112"/>
      <c r="L49" s="112"/>
      <c r="M49" s="112"/>
    </row>
    <row r="50" spans="1:13" s="118" customFormat="1" x14ac:dyDescent="0.15">
      <c r="A50" s="666"/>
      <c r="B50" s="704" t="s">
        <v>86</v>
      </c>
      <c r="C50" s="707"/>
      <c r="D50" s="705">
        <f>0</f>
        <v>0</v>
      </c>
      <c r="E50" s="705">
        <f t="shared" si="0"/>
        <v>0</v>
      </c>
      <c r="F50" s="706" t="str">
        <f t="shared" si="1"/>
        <v/>
      </c>
      <c r="G50" s="117"/>
      <c r="H50" s="112"/>
      <c r="I50" s="108"/>
      <c r="J50" s="112"/>
      <c r="K50" s="112"/>
      <c r="L50" s="112"/>
      <c r="M50" s="112"/>
    </row>
    <row r="51" spans="1:13" s="118" customFormat="1" x14ac:dyDescent="0.15">
      <c r="A51" s="666"/>
      <c r="B51" s="736" t="s">
        <v>87</v>
      </c>
      <c r="C51" s="737">
        <f>(((((((((((((((((C16)+(C17))+(C18))+(C19))+(C20))+(C21))+(C27))+(C33))+(C34))+(C35))+(C36))+(C37))+(C38))+(C42))+(C43))+(C48))+(C49))+(C50)</f>
        <v>857485.05999999994</v>
      </c>
      <c r="D51" s="737">
        <f>(((((((((((((((((D16)+(D17))+(D18))+(D19))+(D20))+(D21))+(D27))+(D33))+(D34))+(D35))+(D36))+(D37))+(D38))+(D42))+(D43))+(D48))+(D49))+(D50)</f>
        <v>1357365</v>
      </c>
      <c r="E51" s="737">
        <f t="shared" si="0"/>
        <v>-499879.94000000006</v>
      </c>
      <c r="F51" s="738">
        <f t="shared" si="1"/>
        <v>0.63172769299341003</v>
      </c>
      <c r="G51" s="117"/>
      <c r="H51" s="112"/>
      <c r="I51" s="108"/>
      <c r="J51" s="112"/>
      <c r="K51" s="112"/>
      <c r="L51" s="112"/>
      <c r="M51" s="112"/>
    </row>
    <row r="52" spans="1:13" s="118" customFormat="1" x14ac:dyDescent="0.15">
      <c r="A52" s="666"/>
      <c r="B52" s="704"/>
      <c r="C52" s="705"/>
      <c r="D52" s="705"/>
      <c r="E52" s="705"/>
      <c r="F52" s="706"/>
      <c r="G52" s="117"/>
      <c r="H52" s="112"/>
      <c r="I52" s="108"/>
      <c r="J52" s="112"/>
      <c r="K52" s="112"/>
      <c r="L52" s="112"/>
      <c r="M52" s="112"/>
    </row>
    <row r="53" spans="1:13" s="118" customFormat="1" x14ac:dyDescent="0.15">
      <c r="A53" s="666"/>
      <c r="B53" s="704"/>
      <c r="C53" s="705"/>
      <c r="D53" s="705"/>
      <c r="E53" s="705"/>
      <c r="F53" s="706"/>
      <c r="G53" s="117"/>
      <c r="H53" s="112"/>
      <c r="I53" s="108"/>
      <c r="J53" s="112"/>
      <c r="K53" s="112"/>
      <c r="L53" s="112"/>
      <c r="M53" s="112"/>
    </row>
    <row r="54" spans="1:13" s="118" customFormat="1" x14ac:dyDescent="0.15">
      <c r="A54" s="666"/>
      <c r="B54" s="704" t="s">
        <v>88</v>
      </c>
      <c r="C54" s="707"/>
      <c r="D54" s="707"/>
      <c r="E54" s="707"/>
      <c r="F54" s="708"/>
      <c r="G54" s="117"/>
      <c r="H54" s="112"/>
      <c r="I54" s="108"/>
      <c r="J54" s="112"/>
      <c r="K54" s="112"/>
      <c r="L54" s="112"/>
      <c r="M54" s="112"/>
    </row>
    <row r="55" spans="1:13" s="118" customFormat="1" x14ac:dyDescent="0.15">
      <c r="A55" s="666"/>
      <c r="B55" s="704" t="s">
        <v>89</v>
      </c>
      <c r="C55" s="707"/>
      <c r="D55" s="705">
        <f>0</f>
        <v>0</v>
      </c>
      <c r="E55" s="705">
        <f>(C55)-(D55)</f>
        <v>0</v>
      </c>
      <c r="F55" s="706" t="str">
        <f>IF(D55=0,"",(C55)/(D55))</f>
        <v/>
      </c>
      <c r="G55" s="117"/>
      <c r="H55" s="112"/>
      <c r="I55" s="108"/>
      <c r="J55" s="112"/>
      <c r="K55" s="112"/>
      <c r="L55" s="112"/>
      <c r="M55" s="112"/>
    </row>
    <row r="56" spans="1:13" s="118" customFormat="1" x14ac:dyDescent="0.15">
      <c r="A56" s="666"/>
      <c r="B56" s="704" t="s">
        <v>90</v>
      </c>
      <c r="C56" s="705">
        <f>C55</f>
        <v>0</v>
      </c>
      <c r="D56" s="705">
        <f>D55</f>
        <v>0</v>
      </c>
      <c r="E56" s="705">
        <f>(C56)-(D56)</f>
        <v>0</v>
      </c>
      <c r="F56" s="706" t="str">
        <f>IF(D56=0,"",(C56)/(D56))</f>
        <v/>
      </c>
      <c r="G56" s="117"/>
      <c r="H56" s="112"/>
      <c r="I56" s="108"/>
      <c r="J56" s="112"/>
      <c r="K56" s="112"/>
      <c r="L56" s="112"/>
      <c r="M56" s="112"/>
    </row>
    <row r="57" spans="1:13" s="118" customFormat="1" x14ac:dyDescent="0.15">
      <c r="A57" s="666"/>
      <c r="B57" s="704" t="s">
        <v>91</v>
      </c>
      <c r="C57" s="705">
        <f>(C51)-(C56)</f>
        <v>857485.05999999994</v>
      </c>
      <c r="D57" s="705">
        <f>(D51)-(D56)</f>
        <v>1357365</v>
      </c>
      <c r="E57" s="705">
        <f>(C57)-(D57)</f>
        <v>-499879.94000000006</v>
      </c>
      <c r="F57" s="706">
        <f>IF(D57=0,"",(C57)/(D57))</f>
        <v>0.63172769299341003</v>
      </c>
      <c r="G57" s="117"/>
      <c r="H57" s="112"/>
      <c r="I57" s="108"/>
      <c r="J57" s="112"/>
      <c r="K57" s="112"/>
      <c r="L57" s="112"/>
      <c r="M57" s="112"/>
    </row>
    <row r="58" spans="1:13" s="118" customFormat="1" x14ac:dyDescent="0.15">
      <c r="A58" s="666"/>
      <c r="B58" s="704"/>
      <c r="C58" s="705"/>
      <c r="D58" s="705"/>
      <c r="E58" s="705"/>
      <c r="F58" s="706"/>
      <c r="G58" s="117"/>
      <c r="H58" s="112"/>
      <c r="I58" s="108"/>
      <c r="J58" s="112"/>
      <c r="K58" s="112"/>
      <c r="L58" s="112"/>
      <c r="M58" s="112"/>
    </row>
    <row r="59" spans="1:13" s="118" customFormat="1" x14ac:dyDescent="0.15">
      <c r="A59" s="666"/>
      <c r="B59" s="704"/>
      <c r="C59" s="705"/>
      <c r="D59" s="705"/>
      <c r="E59" s="705"/>
      <c r="F59" s="706"/>
      <c r="G59" s="117"/>
      <c r="H59" s="112"/>
      <c r="I59" s="108"/>
      <c r="J59" s="112"/>
      <c r="K59" s="112"/>
      <c r="L59" s="112"/>
      <c r="M59" s="112"/>
    </row>
    <row r="60" spans="1:13" s="118" customFormat="1" x14ac:dyDescent="0.15">
      <c r="A60" s="666"/>
      <c r="B60" s="739" t="s">
        <v>92</v>
      </c>
      <c r="C60" s="734"/>
      <c r="D60" s="734"/>
      <c r="E60" s="734"/>
      <c r="F60" s="735"/>
      <c r="G60" s="117"/>
      <c r="H60" s="112"/>
      <c r="I60" s="108"/>
      <c r="J60" s="112"/>
      <c r="K60" s="112"/>
      <c r="L60" s="112"/>
      <c r="M60" s="112"/>
    </row>
    <row r="61" spans="1:13" s="118" customFormat="1" x14ac:dyDescent="0.15">
      <c r="A61" s="666"/>
      <c r="B61" s="704" t="s">
        <v>93</v>
      </c>
      <c r="C61" s="707"/>
      <c r="D61" s="705">
        <f>0</f>
        <v>0</v>
      </c>
      <c r="E61" s="705">
        <f t="shared" ref="E61:E124" si="2">(C61)-(D61)</f>
        <v>0</v>
      </c>
      <c r="F61" s="706" t="str">
        <f t="shared" ref="F61:F124" si="3">IF(D61=0,"",(C61)/(D61))</f>
        <v/>
      </c>
      <c r="G61" s="117"/>
      <c r="H61" s="112"/>
      <c r="I61" s="108"/>
      <c r="J61" s="112"/>
      <c r="K61" s="112"/>
      <c r="L61" s="112"/>
      <c r="M61" s="112"/>
    </row>
    <row r="62" spans="1:13" s="118" customFormat="1" x14ac:dyDescent="0.15">
      <c r="A62" s="666"/>
      <c r="B62" s="704" t="s">
        <v>94</v>
      </c>
      <c r="C62" s="707"/>
      <c r="D62" s="705">
        <f>0</f>
        <v>0</v>
      </c>
      <c r="E62" s="705">
        <f t="shared" si="2"/>
        <v>0</v>
      </c>
      <c r="F62" s="706" t="str">
        <f t="shared" si="3"/>
        <v/>
      </c>
      <c r="G62" s="117"/>
      <c r="H62" s="112"/>
      <c r="I62" s="108"/>
      <c r="J62" s="112"/>
      <c r="K62" s="112"/>
      <c r="L62" s="112"/>
      <c r="M62" s="112"/>
    </row>
    <row r="63" spans="1:13" s="118" customFormat="1" x14ac:dyDescent="0.15">
      <c r="A63" s="666"/>
      <c r="B63" s="704" t="s">
        <v>95</v>
      </c>
      <c r="C63" s="705">
        <f>846.9</f>
        <v>846.9</v>
      </c>
      <c r="D63" s="705">
        <f>3800</f>
        <v>3800</v>
      </c>
      <c r="E63" s="705">
        <f t="shared" si="2"/>
        <v>-2953.1</v>
      </c>
      <c r="F63" s="706">
        <f t="shared" si="3"/>
        <v>0.22286842105263158</v>
      </c>
      <c r="G63" s="117"/>
      <c r="H63" s="112"/>
      <c r="I63" s="108"/>
      <c r="J63" s="112"/>
      <c r="K63" s="112"/>
      <c r="L63" s="112"/>
      <c r="M63" s="112"/>
    </row>
    <row r="64" spans="1:13" s="118" customFormat="1" x14ac:dyDescent="0.15">
      <c r="A64" s="666"/>
      <c r="B64" s="704" t="s">
        <v>96</v>
      </c>
      <c r="C64" s="705">
        <f>0</f>
        <v>0</v>
      </c>
      <c r="D64" s="705">
        <f>0</f>
        <v>0</v>
      </c>
      <c r="E64" s="705">
        <f t="shared" si="2"/>
        <v>0</v>
      </c>
      <c r="F64" s="706" t="str">
        <f t="shared" si="3"/>
        <v/>
      </c>
      <c r="G64" s="117"/>
      <c r="H64" s="112"/>
      <c r="I64" s="108"/>
      <c r="J64" s="112"/>
      <c r="K64" s="112"/>
      <c r="L64" s="112"/>
      <c r="M64" s="112"/>
    </row>
    <row r="65" spans="1:13" s="118" customFormat="1" x14ac:dyDescent="0.15">
      <c r="A65" s="666"/>
      <c r="B65" s="704" t="s">
        <v>97</v>
      </c>
      <c r="C65" s="705">
        <f>0</f>
        <v>0</v>
      </c>
      <c r="D65" s="705">
        <f>8077</f>
        <v>8077</v>
      </c>
      <c r="E65" s="705">
        <f t="shared" si="2"/>
        <v>-8077</v>
      </c>
      <c r="F65" s="706">
        <f t="shared" si="3"/>
        <v>0</v>
      </c>
      <c r="G65" s="117"/>
      <c r="H65" s="112"/>
      <c r="I65" s="108"/>
      <c r="J65" s="112"/>
      <c r="K65" s="112"/>
      <c r="L65" s="112"/>
      <c r="M65" s="112"/>
    </row>
    <row r="66" spans="1:13" s="118" customFormat="1" x14ac:dyDescent="0.15">
      <c r="A66" s="666"/>
      <c r="B66" s="704" t="s">
        <v>98</v>
      </c>
      <c r="C66" s="705">
        <f>11400</f>
        <v>11400</v>
      </c>
      <c r="D66" s="705">
        <f>35000</f>
        <v>35000</v>
      </c>
      <c r="E66" s="705">
        <f t="shared" si="2"/>
        <v>-23600</v>
      </c>
      <c r="F66" s="706">
        <f t="shared" si="3"/>
        <v>0.32571428571428573</v>
      </c>
      <c r="G66" s="117"/>
      <c r="H66" s="112"/>
      <c r="I66" s="108"/>
      <c r="J66" s="112"/>
      <c r="K66" s="112"/>
      <c r="L66" s="112"/>
      <c r="M66" s="112"/>
    </row>
    <row r="67" spans="1:13" s="118" customFormat="1" x14ac:dyDescent="0.15">
      <c r="A67" s="666"/>
      <c r="B67" s="704" t="s">
        <v>99</v>
      </c>
      <c r="C67" s="705">
        <f>5071.97</f>
        <v>5071.97</v>
      </c>
      <c r="D67" s="705">
        <f>17280</f>
        <v>17280</v>
      </c>
      <c r="E67" s="705">
        <f t="shared" si="2"/>
        <v>-12208.029999999999</v>
      </c>
      <c r="F67" s="706">
        <f t="shared" si="3"/>
        <v>0.29351678240740742</v>
      </c>
      <c r="G67" s="117"/>
      <c r="H67" s="112"/>
      <c r="I67" s="108"/>
      <c r="J67" s="112"/>
      <c r="K67" s="112"/>
      <c r="L67" s="112"/>
      <c r="M67" s="112"/>
    </row>
    <row r="68" spans="1:13" s="118" customFormat="1" x14ac:dyDescent="0.15">
      <c r="A68" s="666"/>
      <c r="B68" s="704" t="s">
        <v>100</v>
      </c>
      <c r="C68" s="707"/>
      <c r="D68" s="705">
        <f>74520</f>
        <v>74520</v>
      </c>
      <c r="E68" s="705">
        <f t="shared" si="2"/>
        <v>-74520</v>
      </c>
      <c r="F68" s="706">
        <f t="shared" si="3"/>
        <v>0</v>
      </c>
      <c r="G68" s="117"/>
      <c r="H68" s="112"/>
      <c r="I68" s="108"/>
      <c r="J68" s="112"/>
      <c r="K68" s="112"/>
      <c r="L68" s="112"/>
      <c r="M68" s="112"/>
    </row>
    <row r="69" spans="1:13" s="118" customFormat="1" x14ac:dyDescent="0.15">
      <c r="A69" s="666"/>
      <c r="B69" s="704" t="s">
        <v>101</v>
      </c>
      <c r="C69" s="705">
        <f>4547.6</f>
        <v>4547.6000000000004</v>
      </c>
      <c r="D69" s="705">
        <f>0</f>
        <v>0</v>
      </c>
      <c r="E69" s="705">
        <f t="shared" si="2"/>
        <v>4547.6000000000004</v>
      </c>
      <c r="F69" s="706" t="str">
        <f t="shared" si="3"/>
        <v/>
      </c>
      <c r="G69" s="117"/>
      <c r="H69" s="112"/>
      <c r="I69" s="108"/>
      <c r="J69" s="112"/>
      <c r="K69" s="112"/>
      <c r="L69" s="112"/>
      <c r="M69" s="112"/>
    </row>
    <row r="70" spans="1:13" s="118" customFormat="1" x14ac:dyDescent="0.15">
      <c r="A70" s="666"/>
      <c r="B70" s="704" t="s">
        <v>102</v>
      </c>
      <c r="C70" s="705">
        <f>7529.28</f>
        <v>7529.28</v>
      </c>
      <c r="D70" s="705">
        <f>0</f>
        <v>0</v>
      </c>
      <c r="E70" s="705">
        <f t="shared" si="2"/>
        <v>7529.28</v>
      </c>
      <c r="F70" s="706" t="str">
        <f t="shared" si="3"/>
        <v/>
      </c>
      <c r="G70" s="117"/>
      <c r="H70" s="112"/>
      <c r="I70" s="108"/>
      <c r="J70" s="112"/>
      <c r="K70" s="112"/>
      <c r="L70" s="112"/>
      <c r="M70" s="112"/>
    </row>
    <row r="71" spans="1:13" s="118" customFormat="1" x14ac:dyDescent="0.15">
      <c r="A71" s="666"/>
      <c r="B71" s="704" t="s">
        <v>103</v>
      </c>
      <c r="C71" s="705">
        <f>9788.62</f>
        <v>9788.6200000000008</v>
      </c>
      <c r="D71" s="705">
        <f>0</f>
        <v>0</v>
      </c>
      <c r="E71" s="705">
        <f t="shared" si="2"/>
        <v>9788.6200000000008</v>
      </c>
      <c r="F71" s="706" t="str">
        <f t="shared" si="3"/>
        <v/>
      </c>
      <c r="G71" s="117"/>
      <c r="H71" s="112"/>
      <c r="I71" s="108"/>
      <c r="J71" s="112"/>
      <c r="K71" s="112"/>
      <c r="L71" s="112"/>
      <c r="M71" s="112"/>
    </row>
    <row r="72" spans="1:13" s="118" customFormat="1" x14ac:dyDescent="0.15">
      <c r="A72" s="666"/>
      <c r="B72" s="704" t="s">
        <v>104</v>
      </c>
      <c r="C72" s="705">
        <f>3220.46</f>
        <v>3220.46</v>
      </c>
      <c r="D72" s="705">
        <f>0</f>
        <v>0</v>
      </c>
      <c r="E72" s="705">
        <f t="shared" si="2"/>
        <v>3220.46</v>
      </c>
      <c r="F72" s="706" t="str">
        <f t="shared" si="3"/>
        <v/>
      </c>
      <c r="G72" s="117"/>
      <c r="H72" s="112"/>
      <c r="I72" s="108"/>
      <c r="J72" s="112"/>
      <c r="K72" s="112"/>
      <c r="L72" s="112"/>
      <c r="M72" s="112"/>
    </row>
    <row r="73" spans="1:13" s="118" customFormat="1" x14ac:dyDescent="0.15">
      <c r="A73" s="666"/>
      <c r="B73" s="704" t="s">
        <v>105</v>
      </c>
      <c r="C73" s="705">
        <f>2141.44</f>
        <v>2141.44</v>
      </c>
      <c r="D73" s="705">
        <f>0</f>
        <v>0</v>
      </c>
      <c r="E73" s="705">
        <f t="shared" si="2"/>
        <v>2141.44</v>
      </c>
      <c r="F73" s="706" t="str">
        <f t="shared" si="3"/>
        <v/>
      </c>
      <c r="G73" s="117"/>
      <c r="H73" s="112"/>
      <c r="I73" s="108"/>
      <c r="J73" s="112"/>
      <c r="K73" s="112"/>
      <c r="L73" s="112"/>
      <c r="M73" s="112"/>
    </row>
    <row r="74" spans="1:13" s="118" customFormat="1" x14ac:dyDescent="0.15">
      <c r="A74" s="666"/>
      <c r="B74" s="704" t="s">
        <v>106</v>
      </c>
      <c r="C74" s="705">
        <f>952.82</f>
        <v>952.82</v>
      </c>
      <c r="D74" s="705">
        <f>0</f>
        <v>0</v>
      </c>
      <c r="E74" s="705">
        <f t="shared" si="2"/>
        <v>952.82</v>
      </c>
      <c r="F74" s="706" t="str">
        <f t="shared" si="3"/>
        <v/>
      </c>
      <c r="G74" s="117"/>
      <c r="H74" s="112"/>
      <c r="I74" s="108"/>
      <c r="J74" s="112"/>
      <c r="K74" s="112"/>
      <c r="L74" s="112"/>
      <c r="M74" s="112"/>
    </row>
    <row r="75" spans="1:13" s="118" customFormat="1" x14ac:dyDescent="0.15">
      <c r="A75" s="666"/>
      <c r="B75" s="704" t="s">
        <v>107</v>
      </c>
      <c r="C75" s="707"/>
      <c r="D75" s="705">
        <f>0</f>
        <v>0</v>
      </c>
      <c r="E75" s="705">
        <f t="shared" si="2"/>
        <v>0</v>
      </c>
      <c r="F75" s="706" t="str">
        <f t="shared" si="3"/>
        <v/>
      </c>
      <c r="G75" s="117"/>
      <c r="H75" s="112"/>
      <c r="I75" s="108"/>
      <c r="J75" s="112"/>
      <c r="K75" s="112"/>
      <c r="L75" s="112"/>
      <c r="M75" s="112"/>
    </row>
    <row r="76" spans="1:13" s="118" customFormat="1" x14ac:dyDescent="0.15">
      <c r="A76" s="666"/>
      <c r="B76" s="740" t="s">
        <v>108</v>
      </c>
      <c r="C76" s="741">
        <f>(((((((C68)+(C69))+(C70))+(C71))+(C72))+(C73))+(C74))+(C75)</f>
        <v>28180.219999999998</v>
      </c>
      <c r="D76" s="741">
        <f>(((((((D68)+(D69))+(D70))+(D71))+(D72))+(D73))+(D74))+(D75)</f>
        <v>74520</v>
      </c>
      <c r="E76" s="741">
        <f t="shared" si="2"/>
        <v>-46339.78</v>
      </c>
      <c r="F76" s="742">
        <f t="shared" si="3"/>
        <v>0.37815646806226511</v>
      </c>
      <c r="G76" s="117"/>
      <c r="H76" s="112"/>
      <c r="I76" s="108"/>
      <c r="J76" s="112"/>
      <c r="K76" s="112"/>
      <c r="L76" s="112"/>
      <c r="M76" s="112"/>
    </row>
    <row r="77" spans="1:13" s="118" customFormat="1" x14ac:dyDescent="0.15">
      <c r="A77" s="666"/>
      <c r="B77" s="704" t="s">
        <v>109</v>
      </c>
      <c r="C77" s="707"/>
      <c r="D77" s="705">
        <f>0</f>
        <v>0</v>
      </c>
      <c r="E77" s="705">
        <f t="shared" si="2"/>
        <v>0</v>
      </c>
      <c r="F77" s="706" t="str">
        <f t="shared" si="3"/>
        <v/>
      </c>
      <c r="G77" s="117"/>
      <c r="H77" s="112"/>
      <c r="I77" s="108"/>
      <c r="J77" s="112"/>
      <c r="K77" s="112"/>
      <c r="L77" s="112"/>
      <c r="M77" s="112"/>
    </row>
    <row r="78" spans="1:13" s="118" customFormat="1" x14ac:dyDescent="0.15">
      <c r="A78" s="666"/>
      <c r="B78" s="704" t="s">
        <v>110</v>
      </c>
      <c r="C78" s="705">
        <f>-25160.16</f>
        <v>-25160.16</v>
      </c>
      <c r="D78" s="705">
        <f>0</f>
        <v>0</v>
      </c>
      <c r="E78" s="705">
        <f t="shared" si="2"/>
        <v>-25160.16</v>
      </c>
      <c r="F78" s="706" t="str">
        <f t="shared" si="3"/>
        <v/>
      </c>
      <c r="G78" s="117"/>
      <c r="H78" s="112"/>
      <c r="I78" s="108"/>
      <c r="J78" s="112"/>
      <c r="K78" s="112"/>
      <c r="L78" s="112"/>
      <c r="M78" s="112"/>
    </row>
    <row r="79" spans="1:13" s="118" customFormat="1" x14ac:dyDescent="0.15">
      <c r="A79" s="666"/>
      <c r="B79" s="704" t="s">
        <v>111</v>
      </c>
      <c r="C79" s="705">
        <f>34216.55</f>
        <v>34216.550000000003</v>
      </c>
      <c r="D79" s="705">
        <f>0</f>
        <v>0</v>
      </c>
      <c r="E79" s="705">
        <f t="shared" si="2"/>
        <v>34216.550000000003</v>
      </c>
      <c r="F79" s="706" t="str">
        <f t="shared" si="3"/>
        <v/>
      </c>
      <c r="G79" s="117"/>
      <c r="H79" s="112"/>
      <c r="I79" s="108"/>
      <c r="J79" s="112"/>
      <c r="K79" s="112"/>
      <c r="L79" s="112"/>
      <c r="M79" s="112"/>
    </row>
    <row r="80" spans="1:13" s="118" customFormat="1" x14ac:dyDescent="0.15">
      <c r="A80" s="666"/>
      <c r="B80" s="740" t="s">
        <v>112</v>
      </c>
      <c r="C80" s="741">
        <f>((C77)+(C78))+(C79)</f>
        <v>9056.3900000000031</v>
      </c>
      <c r="D80" s="741">
        <f>((D77)+(D78))+(D79)</f>
        <v>0</v>
      </c>
      <c r="E80" s="741">
        <f t="shared" si="2"/>
        <v>9056.3900000000031</v>
      </c>
      <c r="F80" s="742" t="str">
        <f t="shared" si="3"/>
        <v/>
      </c>
      <c r="G80" s="117"/>
      <c r="H80" s="112"/>
      <c r="I80" s="108"/>
      <c r="J80" s="112"/>
      <c r="K80" s="112"/>
      <c r="L80" s="112"/>
      <c r="M80" s="112"/>
    </row>
    <row r="81" spans="1:13" s="118" customFormat="1" x14ac:dyDescent="0.15">
      <c r="A81" s="666"/>
      <c r="B81" s="704" t="s">
        <v>113</v>
      </c>
      <c r="C81" s="705">
        <f>5584.7</f>
        <v>5584.7</v>
      </c>
      <c r="D81" s="705">
        <f>18270</f>
        <v>18270</v>
      </c>
      <c r="E81" s="705">
        <f t="shared" si="2"/>
        <v>-12685.3</v>
      </c>
      <c r="F81" s="706">
        <f t="shared" si="3"/>
        <v>0.30567597153804049</v>
      </c>
      <c r="G81" s="117"/>
      <c r="H81" s="112"/>
      <c r="I81" s="108"/>
      <c r="J81" s="112"/>
      <c r="K81" s="112"/>
      <c r="L81" s="112"/>
      <c r="M81" s="112"/>
    </row>
    <row r="82" spans="1:13" s="118" customFormat="1" x14ac:dyDescent="0.15">
      <c r="A82" s="666"/>
      <c r="B82" s="704" t="s">
        <v>114</v>
      </c>
      <c r="C82" s="707"/>
      <c r="D82" s="705">
        <f>0</f>
        <v>0</v>
      </c>
      <c r="E82" s="705">
        <f t="shared" si="2"/>
        <v>0</v>
      </c>
      <c r="F82" s="706" t="str">
        <f t="shared" si="3"/>
        <v/>
      </c>
      <c r="G82" s="117"/>
      <c r="H82" s="112"/>
      <c r="I82" s="108"/>
      <c r="J82" s="112"/>
      <c r="K82" s="112"/>
      <c r="L82" s="112"/>
      <c r="M82" s="112"/>
    </row>
    <row r="83" spans="1:13" s="118" customFormat="1" x14ac:dyDescent="0.15">
      <c r="A83" s="666"/>
      <c r="B83" s="704" t="s">
        <v>115</v>
      </c>
      <c r="C83" s="705">
        <f>2188.45</f>
        <v>2188.4499999999998</v>
      </c>
      <c r="D83" s="705">
        <f>7000</f>
        <v>7000</v>
      </c>
      <c r="E83" s="705">
        <f t="shared" si="2"/>
        <v>-4811.55</v>
      </c>
      <c r="F83" s="706">
        <f t="shared" si="3"/>
        <v>0.31263571428571424</v>
      </c>
      <c r="G83" s="117"/>
      <c r="H83" s="112"/>
      <c r="I83" s="108"/>
      <c r="J83" s="112"/>
      <c r="K83" s="112"/>
      <c r="L83" s="112"/>
      <c r="M83" s="112"/>
    </row>
    <row r="84" spans="1:13" s="118" customFormat="1" x14ac:dyDescent="0.15">
      <c r="A84" s="666"/>
      <c r="B84" s="704" t="s">
        <v>116</v>
      </c>
      <c r="C84" s="705">
        <f>122089.38</f>
        <v>122089.38</v>
      </c>
      <c r="D84" s="705">
        <f>220598</f>
        <v>220598</v>
      </c>
      <c r="E84" s="705">
        <f t="shared" si="2"/>
        <v>-98508.62</v>
      </c>
      <c r="F84" s="706">
        <f t="shared" si="3"/>
        <v>0.55344735673034207</v>
      </c>
      <c r="G84" s="117"/>
      <c r="H84" s="112"/>
      <c r="I84" s="108"/>
      <c r="J84" s="112"/>
      <c r="K84" s="112"/>
      <c r="L84" s="112"/>
      <c r="M84" s="112"/>
    </row>
    <row r="85" spans="1:13" s="118" customFormat="1" x14ac:dyDescent="0.15">
      <c r="A85" s="666"/>
      <c r="B85" s="704" t="s">
        <v>117</v>
      </c>
      <c r="C85" s="707"/>
      <c r="D85" s="705">
        <f>165610</f>
        <v>165610</v>
      </c>
      <c r="E85" s="705">
        <f t="shared" si="2"/>
        <v>-165610</v>
      </c>
      <c r="F85" s="706">
        <f t="shared" si="3"/>
        <v>0</v>
      </c>
      <c r="G85" s="117"/>
      <c r="H85" s="112"/>
      <c r="I85" s="108"/>
      <c r="J85" s="112"/>
      <c r="K85" s="112"/>
      <c r="L85" s="112"/>
      <c r="M85" s="112"/>
    </row>
    <row r="86" spans="1:13" s="118" customFormat="1" x14ac:dyDescent="0.15">
      <c r="A86" s="666"/>
      <c r="B86" s="704" t="s">
        <v>118</v>
      </c>
      <c r="C86" s="705">
        <f>74301.52</f>
        <v>74301.52</v>
      </c>
      <c r="D86" s="705">
        <f>0</f>
        <v>0</v>
      </c>
      <c r="E86" s="705">
        <f t="shared" si="2"/>
        <v>74301.52</v>
      </c>
      <c r="F86" s="706" t="str">
        <f t="shared" si="3"/>
        <v/>
      </c>
      <c r="G86" s="117"/>
      <c r="H86" s="112"/>
      <c r="I86" s="108"/>
      <c r="J86" s="112"/>
      <c r="K86" s="112"/>
      <c r="L86" s="112"/>
      <c r="M86" s="112"/>
    </row>
    <row r="87" spans="1:13" s="118" customFormat="1" x14ac:dyDescent="0.15">
      <c r="A87" s="666"/>
      <c r="B87" s="704" t="s">
        <v>119</v>
      </c>
      <c r="C87" s="705">
        <f>1956.42</f>
        <v>1956.42</v>
      </c>
      <c r="D87" s="705">
        <f>0</f>
        <v>0</v>
      </c>
      <c r="E87" s="705">
        <f t="shared" si="2"/>
        <v>1956.42</v>
      </c>
      <c r="F87" s="706" t="str">
        <f t="shared" si="3"/>
        <v/>
      </c>
      <c r="G87" s="117"/>
      <c r="H87" s="112"/>
      <c r="I87" s="108"/>
      <c r="J87" s="112"/>
      <c r="K87" s="112"/>
      <c r="L87" s="112"/>
      <c r="M87" s="112"/>
    </row>
    <row r="88" spans="1:13" s="118" customFormat="1" x14ac:dyDescent="0.15">
      <c r="A88" s="666"/>
      <c r="B88" s="704" t="s">
        <v>120</v>
      </c>
      <c r="C88" s="707"/>
      <c r="D88" s="705">
        <f>0</f>
        <v>0</v>
      </c>
      <c r="E88" s="705">
        <f t="shared" si="2"/>
        <v>0</v>
      </c>
      <c r="F88" s="706" t="str">
        <f t="shared" si="3"/>
        <v/>
      </c>
      <c r="G88" s="117"/>
      <c r="H88" s="112"/>
      <c r="I88" s="108"/>
      <c r="J88" s="112"/>
      <c r="K88" s="112"/>
      <c r="L88" s="112"/>
      <c r="M88" s="112"/>
    </row>
    <row r="89" spans="1:13" s="118" customFormat="1" x14ac:dyDescent="0.15">
      <c r="A89" s="666"/>
      <c r="B89" s="704" t="s">
        <v>121</v>
      </c>
      <c r="C89" s="705">
        <f>138</f>
        <v>138</v>
      </c>
      <c r="D89" s="705">
        <f>0</f>
        <v>0</v>
      </c>
      <c r="E89" s="705">
        <f t="shared" si="2"/>
        <v>138</v>
      </c>
      <c r="F89" s="706" t="str">
        <f t="shared" si="3"/>
        <v/>
      </c>
      <c r="G89" s="117"/>
      <c r="H89" s="112"/>
      <c r="I89" s="108"/>
      <c r="J89" s="112"/>
      <c r="K89" s="112"/>
      <c r="L89" s="112"/>
      <c r="M89" s="112"/>
    </row>
    <row r="90" spans="1:13" s="118" customFormat="1" x14ac:dyDescent="0.15">
      <c r="A90" s="666"/>
      <c r="B90" s="704" t="s">
        <v>122</v>
      </c>
      <c r="C90" s="705">
        <f>566.26</f>
        <v>566.26</v>
      </c>
      <c r="D90" s="705">
        <f>0</f>
        <v>0</v>
      </c>
      <c r="E90" s="705">
        <f t="shared" si="2"/>
        <v>566.26</v>
      </c>
      <c r="F90" s="706" t="str">
        <f t="shared" si="3"/>
        <v/>
      </c>
      <c r="G90" s="117"/>
      <c r="H90" s="112"/>
      <c r="I90" s="108"/>
      <c r="J90" s="112"/>
      <c r="K90" s="112"/>
      <c r="L90" s="112"/>
      <c r="M90" s="112"/>
    </row>
    <row r="91" spans="1:13" s="118" customFormat="1" x14ac:dyDescent="0.15">
      <c r="A91" s="666"/>
      <c r="B91" s="740" t="s">
        <v>123</v>
      </c>
      <c r="C91" s="741">
        <f>(((((C85)+(C86))+(C87))+(C88))+(C89))+(C90)</f>
        <v>76962.2</v>
      </c>
      <c r="D91" s="741">
        <f>(((((D85)+(D86))+(D87))+(D88))+(D89))+(D90)</f>
        <v>165610</v>
      </c>
      <c r="E91" s="741">
        <f t="shared" si="2"/>
        <v>-88647.8</v>
      </c>
      <c r="F91" s="742">
        <f t="shared" si="3"/>
        <v>0.46471952176800918</v>
      </c>
      <c r="G91" s="117"/>
      <c r="H91" s="112"/>
      <c r="I91" s="108"/>
      <c r="J91" s="112"/>
      <c r="K91" s="112"/>
      <c r="L91" s="112"/>
      <c r="M91" s="112"/>
    </row>
    <row r="92" spans="1:13" s="118" customFormat="1" x14ac:dyDescent="0.15">
      <c r="A92" s="666"/>
      <c r="B92" s="704" t="s">
        <v>124</v>
      </c>
      <c r="C92" s="705">
        <f>2052.06</f>
        <v>2052.06</v>
      </c>
      <c r="D92" s="705">
        <f>3500</f>
        <v>3500</v>
      </c>
      <c r="E92" s="705">
        <f t="shared" si="2"/>
        <v>-1447.94</v>
      </c>
      <c r="F92" s="706">
        <f t="shared" si="3"/>
        <v>0.58630285714285713</v>
      </c>
      <c r="G92" s="117"/>
      <c r="H92" s="112"/>
      <c r="I92" s="108"/>
      <c r="J92" s="112"/>
      <c r="K92" s="112"/>
      <c r="L92" s="112"/>
      <c r="M92" s="112"/>
    </row>
    <row r="93" spans="1:13" s="118" customFormat="1" x14ac:dyDescent="0.15">
      <c r="A93" s="666"/>
      <c r="B93" s="704" t="s">
        <v>125</v>
      </c>
      <c r="C93" s="705">
        <f>234.98</f>
        <v>234.98</v>
      </c>
      <c r="D93" s="705">
        <f>1400</f>
        <v>1400</v>
      </c>
      <c r="E93" s="705">
        <f t="shared" si="2"/>
        <v>-1165.02</v>
      </c>
      <c r="F93" s="706">
        <f t="shared" si="3"/>
        <v>0.16784285714285713</v>
      </c>
      <c r="G93" s="117"/>
      <c r="H93" s="112"/>
      <c r="I93" s="108"/>
      <c r="J93" s="112"/>
      <c r="K93" s="112"/>
      <c r="L93" s="112"/>
      <c r="M93" s="112"/>
    </row>
    <row r="94" spans="1:13" s="118" customFormat="1" x14ac:dyDescent="0.15">
      <c r="A94" s="666"/>
      <c r="B94" s="704" t="s">
        <v>126</v>
      </c>
      <c r="C94" s="705">
        <f>50</f>
        <v>50</v>
      </c>
      <c r="D94" s="705">
        <f>1400</f>
        <v>1400</v>
      </c>
      <c r="E94" s="705">
        <f t="shared" si="2"/>
        <v>-1350</v>
      </c>
      <c r="F94" s="706">
        <f t="shared" si="3"/>
        <v>3.5714285714285712E-2</v>
      </c>
      <c r="G94" s="117"/>
      <c r="H94" s="112"/>
      <c r="I94" s="108"/>
      <c r="J94" s="112"/>
      <c r="K94" s="112"/>
      <c r="L94" s="112"/>
      <c r="M94" s="112"/>
    </row>
    <row r="95" spans="1:13" s="118" customFormat="1" x14ac:dyDescent="0.15">
      <c r="A95" s="666"/>
      <c r="B95" s="704" t="s">
        <v>127</v>
      </c>
      <c r="C95" s="705">
        <f>339.66</f>
        <v>339.66</v>
      </c>
      <c r="D95" s="705">
        <f>1400</f>
        <v>1400</v>
      </c>
      <c r="E95" s="705">
        <f t="shared" si="2"/>
        <v>-1060.3399999999999</v>
      </c>
      <c r="F95" s="706">
        <f t="shared" si="3"/>
        <v>0.24261428571428573</v>
      </c>
      <c r="G95" s="117"/>
      <c r="H95" s="112"/>
      <c r="I95" s="108"/>
      <c r="J95" s="112"/>
      <c r="K95" s="112"/>
      <c r="L95" s="112"/>
      <c r="M95" s="112"/>
    </row>
    <row r="96" spans="1:13" s="118" customFormat="1" x14ac:dyDescent="0.15">
      <c r="A96" s="666"/>
      <c r="B96" s="704" t="s">
        <v>128</v>
      </c>
      <c r="C96" s="705">
        <f>1600</f>
        <v>1600</v>
      </c>
      <c r="D96" s="705">
        <f>1800</f>
        <v>1800</v>
      </c>
      <c r="E96" s="705">
        <f t="shared" si="2"/>
        <v>-200</v>
      </c>
      <c r="F96" s="706">
        <f t="shared" si="3"/>
        <v>0.88888888888888884</v>
      </c>
      <c r="G96" s="117"/>
      <c r="H96" s="112"/>
      <c r="I96" s="108"/>
      <c r="J96" s="112"/>
      <c r="K96" s="112"/>
      <c r="L96" s="112"/>
      <c r="M96" s="112"/>
    </row>
    <row r="97" spans="1:13" s="118" customFormat="1" x14ac:dyDescent="0.15">
      <c r="A97" s="666"/>
      <c r="B97" s="704" t="s">
        <v>129</v>
      </c>
      <c r="C97" s="705">
        <f>810</f>
        <v>810</v>
      </c>
      <c r="D97" s="705">
        <f>810</f>
        <v>810</v>
      </c>
      <c r="E97" s="705">
        <f t="shared" si="2"/>
        <v>0</v>
      </c>
      <c r="F97" s="706">
        <f t="shared" si="3"/>
        <v>1</v>
      </c>
      <c r="G97" s="117"/>
      <c r="H97" s="112"/>
      <c r="I97" s="108"/>
      <c r="J97" s="112"/>
      <c r="K97" s="112"/>
      <c r="L97" s="112"/>
      <c r="M97" s="112"/>
    </row>
    <row r="98" spans="1:13" s="118" customFormat="1" x14ac:dyDescent="0.15">
      <c r="A98" s="666"/>
      <c r="B98" s="704" t="s">
        <v>130</v>
      </c>
      <c r="C98" s="707"/>
      <c r="D98" s="705">
        <f>6666</f>
        <v>6666</v>
      </c>
      <c r="E98" s="705">
        <f t="shared" si="2"/>
        <v>-6666</v>
      </c>
      <c r="F98" s="706">
        <f t="shared" si="3"/>
        <v>0</v>
      </c>
      <c r="G98" s="117"/>
      <c r="H98" s="112"/>
      <c r="I98" s="108"/>
      <c r="J98" s="112"/>
      <c r="K98" s="112"/>
      <c r="L98" s="112"/>
      <c r="M98" s="112"/>
    </row>
    <row r="99" spans="1:13" s="118" customFormat="1" x14ac:dyDescent="0.15">
      <c r="A99" s="666"/>
      <c r="B99" s="704" t="s">
        <v>131</v>
      </c>
      <c r="C99" s="707"/>
      <c r="D99" s="705">
        <f>20000</f>
        <v>20000</v>
      </c>
      <c r="E99" s="705">
        <f t="shared" si="2"/>
        <v>-20000</v>
      </c>
      <c r="F99" s="706">
        <f t="shared" si="3"/>
        <v>0</v>
      </c>
      <c r="G99" s="117"/>
      <c r="H99" s="112"/>
      <c r="I99" s="108"/>
      <c r="J99" s="112"/>
      <c r="K99" s="112"/>
      <c r="L99" s="112"/>
      <c r="M99" s="112"/>
    </row>
    <row r="100" spans="1:13" s="118" customFormat="1" x14ac:dyDescent="0.15">
      <c r="A100" s="666"/>
      <c r="B100" s="704" t="s">
        <v>132</v>
      </c>
      <c r="C100" s="707"/>
      <c r="D100" s="705">
        <f>0</f>
        <v>0</v>
      </c>
      <c r="E100" s="705">
        <f t="shared" si="2"/>
        <v>0</v>
      </c>
      <c r="F100" s="706" t="str">
        <f t="shared" si="3"/>
        <v/>
      </c>
      <c r="G100" s="117"/>
      <c r="H100" s="112"/>
      <c r="I100" s="108"/>
      <c r="J100" s="112"/>
      <c r="K100" s="112"/>
      <c r="L100" s="112"/>
      <c r="M100" s="112"/>
    </row>
    <row r="101" spans="1:13" s="118" customFormat="1" x14ac:dyDescent="0.15">
      <c r="A101" s="666"/>
      <c r="B101" s="704" t="s">
        <v>133</v>
      </c>
      <c r="C101" s="705">
        <f>11700</f>
        <v>11700</v>
      </c>
      <c r="D101" s="705">
        <f>23400</f>
        <v>23400</v>
      </c>
      <c r="E101" s="705">
        <f t="shared" si="2"/>
        <v>-11700</v>
      </c>
      <c r="F101" s="706">
        <f t="shared" si="3"/>
        <v>0.5</v>
      </c>
      <c r="G101" s="117"/>
      <c r="H101" s="112"/>
      <c r="I101" s="108"/>
      <c r="J101" s="112"/>
      <c r="K101" s="112"/>
      <c r="L101" s="112"/>
      <c r="M101" s="112"/>
    </row>
    <row r="102" spans="1:13" s="118" customFormat="1" x14ac:dyDescent="0.15">
      <c r="A102" s="666"/>
      <c r="B102" s="704" t="s">
        <v>134</v>
      </c>
      <c r="C102" s="707"/>
      <c r="D102" s="705">
        <f>0</f>
        <v>0</v>
      </c>
      <c r="E102" s="705">
        <f t="shared" si="2"/>
        <v>0</v>
      </c>
      <c r="F102" s="706" t="str">
        <f t="shared" si="3"/>
        <v/>
      </c>
      <c r="G102" s="117"/>
      <c r="H102" s="112"/>
      <c r="I102" s="108"/>
      <c r="J102" s="112"/>
      <c r="K102" s="112"/>
      <c r="L102" s="112"/>
      <c r="M102" s="112"/>
    </row>
    <row r="103" spans="1:13" s="118" customFormat="1" x14ac:dyDescent="0.15">
      <c r="A103" s="666"/>
      <c r="B103" s="704" t="s">
        <v>135</v>
      </c>
      <c r="C103" s="707"/>
      <c r="D103" s="705">
        <f>6510</f>
        <v>6510</v>
      </c>
      <c r="E103" s="705">
        <f t="shared" si="2"/>
        <v>-6510</v>
      </c>
      <c r="F103" s="706">
        <f t="shared" si="3"/>
        <v>0</v>
      </c>
      <c r="G103" s="117"/>
      <c r="H103" s="112"/>
      <c r="I103" s="108"/>
      <c r="J103" s="112"/>
      <c r="K103" s="112"/>
      <c r="L103" s="112"/>
      <c r="M103" s="112"/>
    </row>
    <row r="104" spans="1:13" s="118" customFormat="1" x14ac:dyDescent="0.15">
      <c r="A104" s="666"/>
      <c r="B104" s="704" t="s">
        <v>136</v>
      </c>
      <c r="C104" s="707"/>
      <c r="D104" s="705">
        <f>18300</f>
        <v>18300</v>
      </c>
      <c r="E104" s="705">
        <f t="shared" si="2"/>
        <v>-18300</v>
      </c>
      <c r="F104" s="706">
        <f t="shared" si="3"/>
        <v>0</v>
      </c>
      <c r="G104" s="117"/>
      <c r="H104" s="112"/>
      <c r="I104" s="108"/>
      <c r="J104" s="112"/>
      <c r="K104" s="112"/>
      <c r="L104" s="112"/>
      <c r="M104" s="112"/>
    </row>
    <row r="105" spans="1:13" s="118" customFormat="1" x14ac:dyDescent="0.15">
      <c r="A105" s="666"/>
      <c r="B105" s="704" t="s">
        <v>137</v>
      </c>
      <c r="C105" s="707"/>
      <c r="D105" s="705">
        <f>0</f>
        <v>0</v>
      </c>
      <c r="E105" s="705">
        <f t="shared" si="2"/>
        <v>0</v>
      </c>
      <c r="F105" s="706" t="str">
        <f t="shared" si="3"/>
        <v/>
      </c>
      <c r="G105" s="117"/>
      <c r="H105" s="112"/>
      <c r="I105" s="108"/>
      <c r="J105" s="112"/>
      <c r="K105" s="112"/>
      <c r="L105" s="112"/>
      <c r="M105" s="112"/>
    </row>
    <row r="106" spans="1:13" s="118" customFormat="1" x14ac:dyDescent="0.15">
      <c r="A106" s="666"/>
      <c r="B106" s="704" t="s">
        <v>138</v>
      </c>
      <c r="C106" s="707"/>
      <c r="D106" s="705">
        <f>0</f>
        <v>0</v>
      </c>
      <c r="E106" s="705">
        <f t="shared" si="2"/>
        <v>0</v>
      </c>
      <c r="F106" s="706" t="str">
        <f t="shared" si="3"/>
        <v/>
      </c>
      <c r="G106" s="117"/>
      <c r="H106" s="112"/>
      <c r="I106" s="108"/>
      <c r="J106" s="112"/>
      <c r="K106" s="112"/>
      <c r="L106" s="112"/>
      <c r="M106" s="112"/>
    </row>
    <row r="107" spans="1:13" s="118" customFormat="1" x14ac:dyDescent="0.15">
      <c r="A107" s="666"/>
      <c r="B107" s="704" t="s">
        <v>139</v>
      </c>
      <c r="C107" s="707"/>
      <c r="D107" s="705">
        <f>0</f>
        <v>0</v>
      </c>
      <c r="E107" s="705">
        <f t="shared" si="2"/>
        <v>0</v>
      </c>
      <c r="F107" s="706" t="str">
        <f t="shared" si="3"/>
        <v/>
      </c>
      <c r="G107" s="117"/>
      <c r="H107" s="112"/>
      <c r="I107" s="108"/>
      <c r="J107" s="112"/>
      <c r="K107" s="112"/>
      <c r="L107" s="112"/>
      <c r="M107" s="112"/>
    </row>
    <row r="108" spans="1:13" s="118" customFormat="1" x14ac:dyDescent="0.15">
      <c r="A108" s="666"/>
      <c r="B108" s="704" t="s">
        <v>140</v>
      </c>
      <c r="C108" s="707"/>
      <c r="D108" s="705">
        <f>0</f>
        <v>0</v>
      </c>
      <c r="E108" s="705">
        <f t="shared" si="2"/>
        <v>0</v>
      </c>
      <c r="F108" s="706" t="str">
        <f t="shared" si="3"/>
        <v/>
      </c>
      <c r="G108" s="117"/>
      <c r="H108" s="112"/>
      <c r="I108" s="108"/>
      <c r="J108" s="112"/>
      <c r="K108" s="112"/>
      <c r="L108" s="112"/>
      <c r="M108" s="112"/>
    </row>
    <row r="109" spans="1:13" s="118" customFormat="1" x14ac:dyDescent="0.15">
      <c r="A109" s="666"/>
      <c r="B109" s="740" t="s">
        <v>141</v>
      </c>
      <c r="C109" s="741">
        <f>((((C104)+(C105))+(C106))+(C107))+(C108)</f>
        <v>0</v>
      </c>
      <c r="D109" s="741">
        <f>((((D104)+(D105))+(D106))+(D107))+(D108)</f>
        <v>18300</v>
      </c>
      <c r="E109" s="741">
        <f t="shared" si="2"/>
        <v>-18300</v>
      </c>
      <c r="F109" s="742">
        <f t="shared" si="3"/>
        <v>0</v>
      </c>
      <c r="G109" s="117"/>
      <c r="H109" s="112"/>
      <c r="I109" s="108"/>
      <c r="J109" s="112"/>
      <c r="K109" s="112"/>
      <c r="L109" s="112"/>
      <c r="M109" s="112"/>
    </row>
    <row r="110" spans="1:13" s="118" customFormat="1" x14ac:dyDescent="0.15">
      <c r="A110" s="666"/>
      <c r="B110" s="704" t="s">
        <v>142</v>
      </c>
      <c r="C110" s="705">
        <f>378</f>
        <v>378</v>
      </c>
      <c r="D110" s="705">
        <f>2500</f>
        <v>2500</v>
      </c>
      <c r="E110" s="705">
        <f t="shared" si="2"/>
        <v>-2122</v>
      </c>
      <c r="F110" s="706">
        <f t="shared" si="3"/>
        <v>0.1512</v>
      </c>
      <c r="G110" s="117"/>
      <c r="H110" s="112"/>
      <c r="I110" s="108"/>
      <c r="J110" s="112"/>
      <c r="K110" s="112"/>
      <c r="L110" s="112"/>
      <c r="M110" s="112"/>
    </row>
    <row r="111" spans="1:13" s="118" customFormat="1" x14ac:dyDescent="0.15">
      <c r="A111" s="666"/>
      <c r="B111" s="704" t="s">
        <v>143</v>
      </c>
      <c r="C111" s="705">
        <f>11282.69</f>
        <v>11282.69</v>
      </c>
      <c r="D111" s="705">
        <f>35000</f>
        <v>35000</v>
      </c>
      <c r="E111" s="705">
        <f t="shared" si="2"/>
        <v>-23717.309999999998</v>
      </c>
      <c r="F111" s="706">
        <f t="shared" si="3"/>
        <v>0.32236257142857144</v>
      </c>
      <c r="G111" s="117"/>
      <c r="H111" s="112"/>
      <c r="I111" s="108"/>
      <c r="J111" s="112"/>
      <c r="K111" s="112"/>
      <c r="L111" s="112"/>
      <c r="M111" s="112"/>
    </row>
    <row r="112" spans="1:13" s="118" customFormat="1" x14ac:dyDescent="0.15">
      <c r="A112" s="666"/>
      <c r="B112" s="704" t="s">
        <v>144</v>
      </c>
      <c r="C112" s="705">
        <f>3289.18</f>
        <v>3289.18</v>
      </c>
      <c r="D112" s="705">
        <f>12500</f>
        <v>12500</v>
      </c>
      <c r="E112" s="705">
        <f t="shared" si="2"/>
        <v>-9210.82</v>
      </c>
      <c r="F112" s="706">
        <f t="shared" si="3"/>
        <v>0.26313439999999999</v>
      </c>
      <c r="G112" s="117"/>
      <c r="H112" s="112"/>
      <c r="I112" s="108"/>
      <c r="J112" s="112"/>
      <c r="K112" s="112"/>
      <c r="L112" s="112"/>
      <c r="M112" s="112"/>
    </row>
    <row r="113" spans="1:13" s="118" customFormat="1" x14ac:dyDescent="0.15">
      <c r="A113" s="666"/>
      <c r="B113" s="704" t="s">
        <v>145</v>
      </c>
      <c r="C113" s="705">
        <f>15564.14</f>
        <v>15564.14</v>
      </c>
      <c r="D113" s="705">
        <f>60000</f>
        <v>60000</v>
      </c>
      <c r="E113" s="705">
        <f t="shared" si="2"/>
        <v>-44435.86</v>
      </c>
      <c r="F113" s="706">
        <f t="shared" si="3"/>
        <v>0.25940233333333335</v>
      </c>
      <c r="G113" s="117"/>
      <c r="H113" s="112"/>
      <c r="I113" s="108"/>
      <c r="J113" s="112"/>
      <c r="K113" s="112"/>
      <c r="L113" s="112"/>
      <c r="M113" s="112"/>
    </row>
    <row r="114" spans="1:13" s="118" customFormat="1" x14ac:dyDescent="0.15">
      <c r="A114" s="666"/>
      <c r="B114" s="704" t="s">
        <v>146</v>
      </c>
      <c r="C114" s="707"/>
      <c r="D114" s="705">
        <f>1000</f>
        <v>1000</v>
      </c>
      <c r="E114" s="705">
        <f t="shared" si="2"/>
        <v>-1000</v>
      </c>
      <c r="F114" s="706">
        <f t="shared" si="3"/>
        <v>0</v>
      </c>
      <c r="G114" s="117"/>
      <c r="H114" s="112"/>
      <c r="I114" s="108"/>
      <c r="J114" s="112"/>
      <c r="K114" s="112"/>
      <c r="L114" s="112"/>
      <c r="M114" s="112"/>
    </row>
    <row r="115" spans="1:13" s="118" customFormat="1" x14ac:dyDescent="0.15">
      <c r="A115" s="666"/>
      <c r="B115" s="704" t="s">
        <v>147</v>
      </c>
      <c r="C115" s="705">
        <f>10704</f>
        <v>10704</v>
      </c>
      <c r="D115" s="705">
        <f>30000</f>
        <v>30000</v>
      </c>
      <c r="E115" s="705">
        <f t="shared" si="2"/>
        <v>-19296</v>
      </c>
      <c r="F115" s="706">
        <f t="shared" si="3"/>
        <v>0.35680000000000001</v>
      </c>
      <c r="G115" s="117"/>
      <c r="H115" s="112"/>
      <c r="I115" s="108"/>
      <c r="J115" s="112"/>
      <c r="K115" s="112"/>
      <c r="L115" s="112"/>
      <c r="M115" s="112"/>
    </row>
    <row r="116" spans="1:13" s="118" customFormat="1" x14ac:dyDescent="0.15">
      <c r="A116" s="666"/>
      <c r="B116" s="704" t="s">
        <v>148</v>
      </c>
      <c r="C116" s="705">
        <f>248.07</f>
        <v>248.07</v>
      </c>
      <c r="D116" s="705">
        <f>996</f>
        <v>996</v>
      </c>
      <c r="E116" s="705">
        <f t="shared" si="2"/>
        <v>-747.93000000000006</v>
      </c>
      <c r="F116" s="706">
        <f t="shared" si="3"/>
        <v>0.24906626506024096</v>
      </c>
      <c r="G116" s="117"/>
      <c r="H116" s="112"/>
      <c r="I116" s="108"/>
      <c r="J116" s="112"/>
      <c r="K116" s="112"/>
      <c r="L116" s="112"/>
      <c r="M116" s="112"/>
    </row>
    <row r="117" spans="1:13" s="118" customFormat="1" x14ac:dyDescent="0.15">
      <c r="A117" s="666"/>
      <c r="B117" s="704" t="s">
        <v>149</v>
      </c>
      <c r="C117" s="707"/>
      <c r="D117" s="705">
        <f>1780</f>
        <v>1780</v>
      </c>
      <c r="E117" s="705">
        <f t="shared" si="2"/>
        <v>-1780</v>
      </c>
      <c r="F117" s="706">
        <f t="shared" si="3"/>
        <v>0</v>
      </c>
      <c r="G117" s="117"/>
      <c r="H117" s="112"/>
      <c r="I117" s="108"/>
      <c r="J117" s="112"/>
      <c r="K117" s="112"/>
      <c r="L117" s="112"/>
      <c r="M117" s="112"/>
    </row>
    <row r="118" spans="1:13" s="118" customFormat="1" x14ac:dyDescent="0.15">
      <c r="A118" s="666"/>
      <c r="B118" s="704" t="s">
        <v>150</v>
      </c>
      <c r="C118" s="707"/>
      <c r="D118" s="705">
        <f>4000</f>
        <v>4000</v>
      </c>
      <c r="E118" s="705">
        <f t="shared" si="2"/>
        <v>-4000</v>
      </c>
      <c r="F118" s="706">
        <f t="shared" si="3"/>
        <v>0</v>
      </c>
      <c r="G118" s="117"/>
      <c r="H118" s="112"/>
      <c r="I118" s="108"/>
      <c r="J118" s="112"/>
      <c r="K118" s="112"/>
      <c r="L118" s="112"/>
      <c r="M118" s="112"/>
    </row>
    <row r="119" spans="1:13" s="118" customFormat="1" x14ac:dyDescent="0.15">
      <c r="A119" s="666"/>
      <c r="B119" s="704" t="s">
        <v>151</v>
      </c>
      <c r="C119" s="705">
        <f>80</f>
        <v>80</v>
      </c>
      <c r="D119" s="705">
        <f>0</f>
        <v>0</v>
      </c>
      <c r="E119" s="705">
        <f t="shared" si="2"/>
        <v>80</v>
      </c>
      <c r="F119" s="706" t="str">
        <f t="shared" si="3"/>
        <v/>
      </c>
      <c r="G119" s="117"/>
      <c r="H119" s="112"/>
      <c r="I119" s="108"/>
      <c r="J119" s="112"/>
      <c r="K119" s="112"/>
      <c r="L119" s="112"/>
      <c r="M119" s="112"/>
    </row>
    <row r="120" spans="1:13" s="118" customFormat="1" x14ac:dyDescent="0.15">
      <c r="A120" s="666"/>
      <c r="B120" s="704" t="s">
        <v>152</v>
      </c>
      <c r="C120" s="705">
        <f>37.71</f>
        <v>37.71</v>
      </c>
      <c r="D120" s="705">
        <f>0</f>
        <v>0</v>
      </c>
      <c r="E120" s="705">
        <f t="shared" si="2"/>
        <v>37.71</v>
      </c>
      <c r="F120" s="706" t="str">
        <f t="shared" si="3"/>
        <v/>
      </c>
      <c r="G120" s="117"/>
      <c r="H120" s="112"/>
      <c r="I120" s="108"/>
      <c r="J120" s="112"/>
      <c r="K120" s="112"/>
      <c r="L120" s="112"/>
      <c r="M120" s="112"/>
    </row>
    <row r="121" spans="1:13" s="118" customFormat="1" x14ac:dyDescent="0.15">
      <c r="A121" s="666"/>
      <c r="B121" s="704" t="s">
        <v>153</v>
      </c>
      <c r="C121" s="705">
        <f>255</f>
        <v>255</v>
      </c>
      <c r="D121" s="705">
        <f>0</f>
        <v>0</v>
      </c>
      <c r="E121" s="705">
        <f t="shared" si="2"/>
        <v>255</v>
      </c>
      <c r="F121" s="706" t="str">
        <f t="shared" si="3"/>
        <v/>
      </c>
      <c r="G121" s="117"/>
      <c r="H121" s="112"/>
      <c r="I121" s="108"/>
      <c r="J121" s="112"/>
      <c r="K121" s="112"/>
      <c r="L121" s="112"/>
      <c r="M121" s="112"/>
    </row>
    <row r="122" spans="1:13" s="118" customFormat="1" x14ac:dyDescent="0.15">
      <c r="A122" s="666"/>
      <c r="B122" s="704" t="s">
        <v>154</v>
      </c>
      <c r="C122" s="707"/>
      <c r="D122" s="705">
        <f>13500</f>
        <v>13500</v>
      </c>
      <c r="E122" s="705">
        <f t="shared" si="2"/>
        <v>-13500</v>
      </c>
      <c r="F122" s="706">
        <f t="shared" si="3"/>
        <v>0</v>
      </c>
      <c r="G122" s="117"/>
      <c r="H122" s="112"/>
      <c r="I122" s="108"/>
      <c r="J122" s="112"/>
      <c r="K122" s="112"/>
      <c r="L122" s="112"/>
      <c r="M122" s="112"/>
    </row>
    <row r="123" spans="1:13" s="118" customFormat="1" x14ac:dyDescent="0.15">
      <c r="A123" s="666"/>
      <c r="B123" s="704" t="s">
        <v>155</v>
      </c>
      <c r="C123" s="705">
        <f>9106.86</f>
        <v>9106.86</v>
      </c>
      <c r="D123" s="705">
        <f>0</f>
        <v>0</v>
      </c>
      <c r="E123" s="705">
        <f t="shared" si="2"/>
        <v>9106.86</v>
      </c>
      <c r="F123" s="706" t="str">
        <f t="shared" si="3"/>
        <v/>
      </c>
      <c r="G123" s="117"/>
      <c r="H123" s="112"/>
      <c r="I123" s="108"/>
      <c r="J123" s="112"/>
      <c r="K123" s="112"/>
      <c r="L123" s="112"/>
      <c r="M123" s="112"/>
    </row>
    <row r="124" spans="1:13" s="118" customFormat="1" x14ac:dyDescent="0.15">
      <c r="A124" s="666"/>
      <c r="B124" s="704" t="s">
        <v>156</v>
      </c>
      <c r="C124" s="707"/>
      <c r="D124" s="705">
        <f>0</f>
        <v>0</v>
      </c>
      <c r="E124" s="705">
        <f t="shared" si="2"/>
        <v>0</v>
      </c>
      <c r="F124" s="706" t="str">
        <f t="shared" si="3"/>
        <v/>
      </c>
      <c r="G124" s="117"/>
      <c r="H124" s="112"/>
      <c r="I124" s="108"/>
      <c r="J124" s="112"/>
      <c r="K124" s="112"/>
      <c r="L124" s="112"/>
      <c r="M124" s="112"/>
    </row>
    <row r="125" spans="1:13" s="118" customFormat="1" x14ac:dyDescent="0.15">
      <c r="A125" s="666"/>
      <c r="B125" s="704" t="s">
        <v>157</v>
      </c>
      <c r="C125" s="705">
        <f>-3694.42</f>
        <v>-3694.42</v>
      </c>
      <c r="D125" s="705">
        <f>0</f>
        <v>0</v>
      </c>
      <c r="E125" s="705">
        <f t="shared" ref="E125:E192" si="4">(C125)-(D125)</f>
        <v>-3694.42</v>
      </c>
      <c r="F125" s="706" t="str">
        <f t="shared" ref="F125:F192" si="5">IF(D125=0,"",(C125)/(D125))</f>
        <v/>
      </c>
      <c r="G125" s="117"/>
      <c r="H125" s="112"/>
      <c r="I125" s="108"/>
      <c r="J125" s="112"/>
      <c r="K125" s="112"/>
      <c r="L125" s="112"/>
      <c r="M125" s="112"/>
    </row>
    <row r="126" spans="1:13" s="118" customFormat="1" x14ac:dyDescent="0.15">
      <c r="A126" s="666"/>
      <c r="B126" s="704" t="s">
        <v>158</v>
      </c>
      <c r="C126" s="707"/>
      <c r="D126" s="705">
        <f>0</f>
        <v>0</v>
      </c>
      <c r="E126" s="705">
        <f t="shared" si="4"/>
        <v>0</v>
      </c>
      <c r="F126" s="706" t="str">
        <f t="shared" si="5"/>
        <v/>
      </c>
      <c r="G126" s="117"/>
      <c r="H126" s="112"/>
      <c r="I126" s="108"/>
      <c r="J126" s="112"/>
      <c r="K126" s="112"/>
      <c r="L126" s="112"/>
      <c r="M126" s="112"/>
    </row>
    <row r="127" spans="1:13" s="118" customFormat="1" x14ac:dyDescent="0.15">
      <c r="A127" s="666"/>
      <c r="B127" s="740" t="s">
        <v>159</v>
      </c>
      <c r="C127" s="741">
        <f>((((C122)+(C123))+(C124))+(C125))+(C126)</f>
        <v>5412.4400000000005</v>
      </c>
      <c r="D127" s="741">
        <f>((((D122)+(D123))+(D124))+(D125))+(D126)</f>
        <v>13500</v>
      </c>
      <c r="E127" s="741">
        <f t="shared" si="4"/>
        <v>-8087.5599999999995</v>
      </c>
      <c r="F127" s="742">
        <f t="shared" si="5"/>
        <v>0.40092148148148155</v>
      </c>
      <c r="G127" s="117"/>
      <c r="H127" s="112"/>
      <c r="I127" s="108"/>
      <c r="J127" s="112"/>
      <c r="K127" s="112"/>
      <c r="L127" s="112"/>
      <c r="M127" s="112"/>
    </row>
    <row r="128" spans="1:13" s="118" customFormat="1" x14ac:dyDescent="0.15">
      <c r="A128" s="666"/>
      <c r="B128" s="740"/>
      <c r="C128" s="741"/>
      <c r="D128" s="741"/>
      <c r="E128" s="741"/>
      <c r="F128" s="742"/>
      <c r="G128" s="117"/>
      <c r="H128" s="112"/>
      <c r="I128" s="108"/>
      <c r="J128" s="112"/>
      <c r="K128" s="112"/>
      <c r="L128" s="112"/>
      <c r="M128" s="112"/>
    </row>
    <row r="129" spans="1:13" s="118" customFormat="1" x14ac:dyDescent="0.15">
      <c r="A129" s="666"/>
      <c r="B129" s="740"/>
      <c r="C129" s="741"/>
      <c r="D129" s="741"/>
      <c r="E129" s="741"/>
      <c r="F129" s="742"/>
      <c r="G129" s="117"/>
      <c r="H129" s="112"/>
      <c r="I129" s="108"/>
      <c r="J129" s="112"/>
      <c r="K129" s="112"/>
      <c r="L129" s="112"/>
      <c r="M129" s="112"/>
    </row>
    <row r="130" spans="1:13" s="118" customFormat="1" x14ac:dyDescent="0.15">
      <c r="A130" s="666"/>
      <c r="B130" s="704" t="s">
        <v>160</v>
      </c>
      <c r="C130" s="707"/>
      <c r="D130" s="705">
        <f>0</f>
        <v>0</v>
      </c>
      <c r="E130" s="705">
        <f t="shared" si="4"/>
        <v>0</v>
      </c>
      <c r="F130" s="706" t="str">
        <f t="shared" si="5"/>
        <v/>
      </c>
      <c r="G130" s="117"/>
      <c r="H130" s="112"/>
      <c r="I130" s="108"/>
      <c r="J130" s="112"/>
      <c r="K130" s="112"/>
      <c r="L130" s="112"/>
      <c r="M130" s="112"/>
    </row>
    <row r="131" spans="1:13" s="118" customFormat="1" x14ac:dyDescent="0.15">
      <c r="A131" s="666"/>
      <c r="B131" s="704" t="s">
        <v>161</v>
      </c>
      <c r="C131" s="705">
        <f>0</f>
        <v>0</v>
      </c>
      <c r="D131" s="705">
        <f>0</f>
        <v>0</v>
      </c>
      <c r="E131" s="705">
        <f t="shared" si="4"/>
        <v>0</v>
      </c>
      <c r="F131" s="706" t="str">
        <f t="shared" si="5"/>
        <v/>
      </c>
      <c r="G131" s="117"/>
      <c r="H131" s="112"/>
      <c r="I131" s="108"/>
      <c r="J131" s="112"/>
      <c r="K131" s="112"/>
      <c r="L131" s="112"/>
      <c r="M131" s="112"/>
    </row>
    <row r="132" spans="1:13" s="118" customFormat="1" x14ac:dyDescent="0.15">
      <c r="A132" s="666"/>
      <c r="B132" s="704" t="s">
        <v>665</v>
      </c>
      <c r="C132" s="707"/>
      <c r="D132" s="705">
        <f>0</f>
        <v>0</v>
      </c>
      <c r="E132" s="705">
        <f t="shared" si="4"/>
        <v>0</v>
      </c>
      <c r="F132" s="706" t="str">
        <f t="shared" si="5"/>
        <v/>
      </c>
      <c r="G132" s="117"/>
      <c r="H132" s="112"/>
      <c r="I132" s="108"/>
      <c r="J132" s="112"/>
      <c r="K132" s="112"/>
      <c r="L132" s="112"/>
      <c r="M132" s="112"/>
    </row>
    <row r="133" spans="1:13" s="118" customFormat="1" x14ac:dyDescent="0.15">
      <c r="A133" s="666"/>
      <c r="B133" s="704" t="s">
        <v>162</v>
      </c>
      <c r="C133" s="707"/>
      <c r="D133" s="707"/>
      <c r="E133" s="705">
        <f t="shared" si="4"/>
        <v>0</v>
      </c>
      <c r="F133" s="706" t="str">
        <f t="shared" si="5"/>
        <v/>
      </c>
      <c r="G133" s="117"/>
      <c r="H133" s="112"/>
      <c r="I133" s="108"/>
      <c r="J133" s="112"/>
      <c r="K133" s="112"/>
      <c r="L133" s="112"/>
      <c r="M133" s="112"/>
    </row>
    <row r="134" spans="1:13" s="118" customFormat="1" x14ac:dyDescent="0.15">
      <c r="A134" s="666"/>
      <c r="B134" s="704" t="s">
        <v>163</v>
      </c>
      <c r="C134" s="705">
        <f>2316.85</f>
        <v>2316.85</v>
      </c>
      <c r="D134" s="705">
        <f>4600</f>
        <v>4600</v>
      </c>
      <c r="E134" s="705">
        <f t="shared" si="4"/>
        <v>-2283.15</v>
      </c>
      <c r="F134" s="706">
        <f t="shared" si="5"/>
        <v>0.50366304347826085</v>
      </c>
      <c r="G134" s="117"/>
      <c r="H134" s="112"/>
      <c r="I134" s="108"/>
      <c r="J134" s="112"/>
      <c r="K134" s="112"/>
      <c r="L134" s="112"/>
      <c r="M134" s="112"/>
    </row>
    <row r="135" spans="1:13" s="118" customFormat="1" x14ac:dyDescent="0.15">
      <c r="A135" s="666"/>
      <c r="B135" s="704" t="s">
        <v>164</v>
      </c>
      <c r="C135" s="705">
        <f>27015.13</f>
        <v>27015.13</v>
      </c>
      <c r="D135" s="705">
        <f>42000</f>
        <v>42000</v>
      </c>
      <c r="E135" s="705">
        <f t="shared" si="4"/>
        <v>-14984.869999999999</v>
      </c>
      <c r="F135" s="706">
        <f t="shared" si="5"/>
        <v>0.64321738095238101</v>
      </c>
      <c r="G135" s="117"/>
      <c r="H135" s="112"/>
      <c r="I135" s="108"/>
      <c r="J135" s="112"/>
      <c r="K135" s="112"/>
      <c r="L135" s="112"/>
      <c r="M135" s="112"/>
    </row>
    <row r="136" spans="1:13" s="118" customFormat="1" x14ac:dyDescent="0.15">
      <c r="A136" s="666"/>
      <c r="B136" s="740" t="s">
        <v>165</v>
      </c>
      <c r="C136" s="741">
        <f>((C133)+(C134))+(C135)</f>
        <v>29331.98</v>
      </c>
      <c r="D136" s="741">
        <f>((D133)+(D134))+(D135)</f>
        <v>46600</v>
      </c>
      <c r="E136" s="741">
        <f t="shared" si="4"/>
        <v>-17268.02</v>
      </c>
      <c r="F136" s="742">
        <f t="shared" si="5"/>
        <v>0.62944163090128757</v>
      </c>
      <c r="G136" s="117"/>
      <c r="H136" s="112"/>
      <c r="I136" s="108"/>
      <c r="J136" s="112"/>
      <c r="K136" s="112"/>
      <c r="L136" s="112"/>
      <c r="M136" s="112"/>
    </row>
    <row r="137" spans="1:13" s="118" customFormat="1" x14ac:dyDescent="0.15">
      <c r="A137" s="666"/>
      <c r="B137" s="740"/>
      <c r="C137" s="741"/>
      <c r="D137" s="741"/>
      <c r="E137" s="741"/>
      <c r="F137" s="742"/>
      <c r="G137" s="117"/>
      <c r="H137" s="112"/>
      <c r="I137" s="108"/>
      <c r="J137" s="112"/>
      <c r="K137" s="112"/>
      <c r="L137" s="112"/>
      <c r="M137" s="112"/>
    </row>
    <row r="138" spans="1:13" s="118" customFormat="1" x14ac:dyDescent="0.15">
      <c r="A138" s="666"/>
      <c r="B138" s="740"/>
      <c r="C138" s="741"/>
      <c r="D138" s="741"/>
      <c r="E138" s="741"/>
      <c r="F138" s="742"/>
      <c r="G138" s="117"/>
      <c r="H138" s="112"/>
      <c r="I138" s="108"/>
      <c r="J138" s="112"/>
      <c r="K138" s="112"/>
      <c r="L138" s="112"/>
      <c r="M138" s="112"/>
    </row>
    <row r="139" spans="1:13" s="118" customFormat="1" x14ac:dyDescent="0.15">
      <c r="A139" s="666"/>
      <c r="B139" s="739" t="s">
        <v>166</v>
      </c>
      <c r="C139" s="745"/>
      <c r="D139" s="745"/>
      <c r="E139" s="746">
        <f t="shared" si="4"/>
        <v>0</v>
      </c>
      <c r="F139" s="747" t="str">
        <f t="shared" si="5"/>
        <v/>
      </c>
      <c r="G139" s="117"/>
      <c r="H139" s="112"/>
      <c r="I139" s="108"/>
      <c r="J139" s="112"/>
      <c r="K139" s="112"/>
      <c r="L139" s="112"/>
      <c r="M139" s="112"/>
    </row>
    <row r="140" spans="1:13" s="118" customFormat="1" x14ac:dyDescent="0.15">
      <c r="A140" s="666"/>
      <c r="B140" s="704" t="s">
        <v>167</v>
      </c>
      <c r="C140" s="707"/>
      <c r="D140" s="705">
        <f>0</f>
        <v>0</v>
      </c>
      <c r="E140" s="705">
        <f t="shared" si="4"/>
        <v>0</v>
      </c>
      <c r="F140" s="706" t="str">
        <f t="shared" si="5"/>
        <v/>
      </c>
      <c r="G140" s="117"/>
      <c r="H140" s="112"/>
      <c r="I140" s="108"/>
      <c r="J140" s="112"/>
      <c r="K140" s="112"/>
      <c r="L140" s="112"/>
      <c r="M140" s="112"/>
    </row>
    <row r="141" spans="1:13" s="118" customFormat="1" x14ac:dyDescent="0.15">
      <c r="A141" s="666"/>
      <c r="B141" s="704" t="s">
        <v>168</v>
      </c>
      <c r="C141" s="707"/>
      <c r="D141" s="705">
        <f>2000</f>
        <v>2000</v>
      </c>
      <c r="E141" s="705">
        <f t="shared" si="4"/>
        <v>-2000</v>
      </c>
      <c r="F141" s="706">
        <f t="shared" si="5"/>
        <v>0</v>
      </c>
      <c r="G141" s="117"/>
      <c r="H141" s="112"/>
      <c r="I141" s="108"/>
      <c r="J141" s="112"/>
      <c r="K141" s="112"/>
      <c r="L141" s="112"/>
      <c r="M141" s="112"/>
    </row>
    <row r="142" spans="1:13" s="118" customFormat="1" x14ac:dyDescent="0.15">
      <c r="A142" s="666"/>
      <c r="B142" s="704" t="s">
        <v>169</v>
      </c>
      <c r="C142" s="705">
        <f>250</f>
        <v>250</v>
      </c>
      <c r="D142" s="705">
        <f>26787</f>
        <v>26787</v>
      </c>
      <c r="E142" s="705">
        <f t="shared" si="4"/>
        <v>-26537</v>
      </c>
      <c r="F142" s="706">
        <f t="shared" si="5"/>
        <v>9.3328853548363018E-3</v>
      </c>
      <c r="G142" s="117"/>
      <c r="H142" s="112"/>
      <c r="I142" s="108"/>
      <c r="J142" s="112"/>
      <c r="K142" s="112"/>
      <c r="L142" s="112"/>
      <c r="M142" s="112"/>
    </row>
    <row r="143" spans="1:13" s="118" customFormat="1" x14ac:dyDescent="0.15">
      <c r="A143" s="666"/>
      <c r="B143" s="704" t="s">
        <v>170</v>
      </c>
      <c r="C143" s="707"/>
      <c r="D143" s="705">
        <f>0</f>
        <v>0</v>
      </c>
      <c r="E143" s="705">
        <f t="shared" si="4"/>
        <v>0</v>
      </c>
      <c r="F143" s="706" t="str">
        <f t="shared" si="5"/>
        <v/>
      </c>
      <c r="G143" s="117"/>
      <c r="H143" s="112"/>
      <c r="I143" s="108"/>
      <c r="J143" s="112"/>
      <c r="K143" s="112"/>
      <c r="L143" s="112"/>
      <c r="M143" s="112"/>
    </row>
    <row r="144" spans="1:13" s="118" customFormat="1" x14ac:dyDescent="0.15">
      <c r="A144" s="666"/>
      <c r="B144" s="704" t="s">
        <v>171</v>
      </c>
      <c r="C144" s="707"/>
      <c r="D144" s="705">
        <f>0</f>
        <v>0</v>
      </c>
      <c r="E144" s="705">
        <f t="shared" si="4"/>
        <v>0</v>
      </c>
      <c r="F144" s="706" t="str">
        <f t="shared" si="5"/>
        <v/>
      </c>
      <c r="G144" s="117"/>
      <c r="H144" s="112"/>
      <c r="I144" s="108"/>
      <c r="J144" s="112"/>
      <c r="K144" s="112"/>
      <c r="L144" s="112"/>
      <c r="M144" s="112"/>
    </row>
    <row r="145" spans="1:13" s="118" customFormat="1" x14ac:dyDescent="0.15">
      <c r="A145" s="666"/>
      <c r="B145" s="704" t="s">
        <v>172</v>
      </c>
      <c r="C145" s="707"/>
      <c r="D145" s="705">
        <f>0</f>
        <v>0</v>
      </c>
      <c r="E145" s="705">
        <f t="shared" si="4"/>
        <v>0</v>
      </c>
      <c r="F145" s="706" t="str">
        <f t="shared" si="5"/>
        <v/>
      </c>
      <c r="G145" s="117"/>
      <c r="H145" s="112"/>
      <c r="I145" s="108"/>
      <c r="J145" s="112"/>
      <c r="K145" s="112"/>
      <c r="L145" s="112"/>
      <c r="M145" s="112"/>
    </row>
    <row r="146" spans="1:13" s="118" customFormat="1" x14ac:dyDescent="0.15">
      <c r="A146" s="666"/>
      <c r="B146" s="704" t="s">
        <v>173</v>
      </c>
      <c r="C146" s="705">
        <f>7253.42</f>
        <v>7253.42</v>
      </c>
      <c r="D146" s="705">
        <f>15046</f>
        <v>15046</v>
      </c>
      <c r="E146" s="705">
        <f t="shared" si="4"/>
        <v>-7792.58</v>
      </c>
      <c r="F146" s="706">
        <f t="shared" si="5"/>
        <v>0.48208294563339094</v>
      </c>
      <c r="G146" s="117"/>
      <c r="H146" s="112"/>
      <c r="I146" s="108"/>
      <c r="J146" s="112"/>
      <c r="K146" s="112"/>
      <c r="L146" s="112"/>
      <c r="M146" s="112"/>
    </row>
    <row r="147" spans="1:13" s="118" customFormat="1" x14ac:dyDescent="0.15">
      <c r="A147" s="666"/>
      <c r="B147" s="761" t="s">
        <v>174</v>
      </c>
      <c r="C147" s="762">
        <f>-22250</f>
        <v>-22250</v>
      </c>
      <c r="D147" s="762">
        <f>-19073</f>
        <v>-19073</v>
      </c>
      <c r="E147" s="762">
        <f t="shared" si="4"/>
        <v>-3177</v>
      </c>
      <c r="F147" s="763">
        <f t="shared" si="5"/>
        <v>1.1665705447491217</v>
      </c>
      <c r="G147" s="117"/>
      <c r="H147" s="112"/>
      <c r="I147" s="108"/>
      <c r="J147" s="112"/>
      <c r="K147" s="112"/>
      <c r="L147" s="112"/>
      <c r="M147" s="112"/>
    </row>
    <row r="148" spans="1:13" s="118" customFormat="1" x14ac:dyDescent="0.15">
      <c r="A148" s="666"/>
      <c r="B148" s="704" t="s">
        <v>175</v>
      </c>
      <c r="C148" s="707"/>
      <c r="D148" s="705">
        <f>1000</f>
        <v>1000</v>
      </c>
      <c r="E148" s="705">
        <f t="shared" si="4"/>
        <v>-1000</v>
      </c>
      <c r="F148" s="706">
        <f t="shared" si="5"/>
        <v>0</v>
      </c>
      <c r="G148" s="117"/>
      <c r="H148" s="112"/>
      <c r="I148" s="108"/>
      <c r="J148" s="112"/>
      <c r="K148" s="112"/>
      <c r="L148" s="112"/>
      <c r="M148" s="112"/>
    </row>
    <row r="149" spans="1:13" s="118" customFormat="1" x14ac:dyDescent="0.15">
      <c r="A149" s="666"/>
      <c r="B149" s="704" t="s">
        <v>176</v>
      </c>
      <c r="C149" s="707"/>
      <c r="D149" s="705">
        <f>500</f>
        <v>500</v>
      </c>
      <c r="E149" s="705">
        <f t="shared" si="4"/>
        <v>-500</v>
      </c>
      <c r="F149" s="706">
        <f t="shared" si="5"/>
        <v>0</v>
      </c>
      <c r="G149" s="117"/>
      <c r="H149" s="112"/>
      <c r="I149" s="108"/>
      <c r="J149" s="112"/>
      <c r="K149" s="112"/>
      <c r="L149" s="112"/>
      <c r="M149" s="112"/>
    </row>
    <row r="150" spans="1:13" s="118" customFormat="1" x14ac:dyDescent="0.15">
      <c r="A150" s="666"/>
      <c r="B150" s="704" t="s">
        <v>177</v>
      </c>
      <c r="C150" s="707"/>
      <c r="D150" s="705">
        <f>0</f>
        <v>0</v>
      </c>
      <c r="E150" s="705">
        <f t="shared" si="4"/>
        <v>0</v>
      </c>
      <c r="F150" s="706" t="str">
        <f t="shared" si="5"/>
        <v/>
      </c>
      <c r="G150" s="117"/>
      <c r="H150" s="112"/>
      <c r="I150" s="108"/>
      <c r="J150" s="112"/>
      <c r="K150" s="112"/>
      <c r="L150" s="112"/>
      <c r="M150" s="112"/>
    </row>
    <row r="151" spans="1:13" s="118" customFormat="1" x14ac:dyDescent="0.15">
      <c r="A151" s="666"/>
      <c r="B151" s="704" t="s">
        <v>178</v>
      </c>
      <c r="C151" s="705">
        <f>33.63</f>
        <v>33.630000000000003</v>
      </c>
      <c r="D151" s="705">
        <f>750</f>
        <v>750</v>
      </c>
      <c r="E151" s="705">
        <f t="shared" si="4"/>
        <v>-716.37</v>
      </c>
      <c r="F151" s="706">
        <f t="shared" si="5"/>
        <v>4.4840000000000005E-2</v>
      </c>
      <c r="G151" s="117"/>
      <c r="H151" s="112"/>
      <c r="I151" s="108"/>
      <c r="J151" s="112"/>
      <c r="K151" s="112"/>
      <c r="L151" s="112"/>
      <c r="M151" s="112"/>
    </row>
    <row r="152" spans="1:13" s="118" customFormat="1" x14ac:dyDescent="0.15">
      <c r="A152" s="666"/>
      <c r="B152" s="704" t="s">
        <v>179</v>
      </c>
      <c r="C152" s="707"/>
      <c r="D152" s="705">
        <f>0</f>
        <v>0</v>
      </c>
      <c r="E152" s="705">
        <f t="shared" si="4"/>
        <v>0</v>
      </c>
      <c r="F152" s="706" t="str">
        <f t="shared" si="5"/>
        <v/>
      </c>
      <c r="G152" s="117"/>
      <c r="H152" s="112"/>
      <c r="I152" s="108"/>
      <c r="J152" s="112"/>
      <c r="K152" s="112"/>
      <c r="L152" s="112"/>
      <c r="M152" s="112"/>
    </row>
    <row r="153" spans="1:13" s="118" customFormat="1" x14ac:dyDescent="0.15">
      <c r="A153" s="666"/>
      <c r="B153" s="704" t="s">
        <v>180</v>
      </c>
      <c r="C153" s="705">
        <f>1109.79</f>
        <v>1109.79</v>
      </c>
      <c r="D153" s="705">
        <f>1100</f>
        <v>1100</v>
      </c>
      <c r="E153" s="705">
        <f t="shared" si="4"/>
        <v>9.7899999999999636</v>
      </c>
      <c r="F153" s="706">
        <f t="shared" si="5"/>
        <v>1.0088999999999999</v>
      </c>
      <c r="G153" s="117"/>
      <c r="H153" s="112"/>
      <c r="I153" s="108"/>
      <c r="J153" s="112"/>
      <c r="K153" s="112"/>
      <c r="L153" s="112"/>
      <c r="M153" s="112"/>
    </row>
    <row r="154" spans="1:13" s="118" customFormat="1" x14ac:dyDescent="0.15">
      <c r="A154" s="666"/>
      <c r="B154" s="704" t="s">
        <v>181</v>
      </c>
      <c r="C154" s="705">
        <f>633.02</f>
        <v>633.02</v>
      </c>
      <c r="D154" s="705">
        <f>1100</f>
        <v>1100</v>
      </c>
      <c r="E154" s="705">
        <f t="shared" si="4"/>
        <v>-466.98</v>
      </c>
      <c r="F154" s="706">
        <f t="shared" si="5"/>
        <v>0.57547272727272725</v>
      </c>
      <c r="G154" s="117"/>
      <c r="H154" s="112"/>
      <c r="I154" s="108"/>
      <c r="J154" s="112"/>
      <c r="K154" s="112"/>
      <c r="L154" s="112"/>
      <c r="M154" s="112"/>
    </row>
    <row r="155" spans="1:13" s="118" customFormat="1" x14ac:dyDescent="0.15">
      <c r="A155" s="666"/>
      <c r="B155" s="704" t="s">
        <v>182</v>
      </c>
      <c r="C155" s="707"/>
      <c r="D155" s="705">
        <f>1100</f>
        <v>1100</v>
      </c>
      <c r="E155" s="705">
        <f t="shared" si="4"/>
        <v>-1100</v>
      </c>
      <c r="F155" s="706">
        <f t="shared" si="5"/>
        <v>0</v>
      </c>
      <c r="G155" s="117"/>
      <c r="H155" s="112"/>
      <c r="I155" s="108"/>
      <c r="J155" s="112"/>
      <c r="K155" s="112"/>
      <c r="L155" s="112"/>
      <c r="M155" s="112"/>
    </row>
    <row r="156" spans="1:13" s="118" customFormat="1" x14ac:dyDescent="0.15">
      <c r="A156" s="666"/>
      <c r="B156" s="704" t="s">
        <v>183</v>
      </c>
      <c r="C156" s="707"/>
      <c r="D156" s="705">
        <f>100</f>
        <v>100</v>
      </c>
      <c r="E156" s="705">
        <f t="shared" si="4"/>
        <v>-100</v>
      </c>
      <c r="F156" s="706">
        <f t="shared" si="5"/>
        <v>0</v>
      </c>
      <c r="G156" s="117"/>
      <c r="H156" s="112"/>
      <c r="I156" s="108"/>
      <c r="J156" s="112"/>
      <c r="K156" s="112"/>
      <c r="L156" s="112"/>
      <c r="M156" s="112"/>
    </row>
    <row r="157" spans="1:13" s="118" customFormat="1" x14ac:dyDescent="0.15">
      <c r="A157" s="666"/>
      <c r="B157" s="704" t="s">
        <v>184</v>
      </c>
      <c r="C157" s="705">
        <f>273.32</f>
        <v>273.32</v>
      </c>
      <c r="D157" s="705">
        <f>900</f>
        <v>900</v>
      </c>
      <c r="E157" s="705">
        <f t="shared" si="4"/>
        <v>-626.68000000000006</v>
      </c>
      <c r="F157" s="706">
        <f t="shared" si="5"/>
        <v>0.3036888888888889</v>
      </c>
      <c r="G157" s="117"/>
      <c r="H157" s="112"/>
      <c r="I157" s="108"/>
      <c r="J157" s="112"/>
      <c r="K157" s="112"/>
      <c r="L157" s="112"/>
      <c r="M157" s="112"/>
    </row>
    <row r="158" spans="1:13" s="118" customFormat="1" x14ac:dyDescent="0.15">
      <c r="A158" s="666"/>
      <c r="B158" s="704" t="s">
        <v>185</v>
      </c>
      <c r="C158" s="705">
        <f>10578.49</f>
        <v>10578.49</v>
      </c>
      <c r="D158" s="705">
        <f>16000</f>
        <v>16000</v>
      </c>
      <c r="E158" s="705">
        <f t="shared" si="4"/>
        <v>-5421.51</v>
      </c>
      <c r="F158" s="706">
        <f t="shared" si="5"/>
        <v>0.66115562500000002</v>
      </c>
      <c r="G158" s="117"/>
      <c r="H158" s="112"/>
      <c r="I158" s="108"/>
      <c r="J158" s="112"/>
      <c r="K158" s="112"/>
      <c r="L158" s="112"/>
      <c r="M158" s="112"/>
    </row>
    <row r="159" spans="1:13" s="118" customFormat="1" x14ac:dyDescent="0.15">
      <c r="A159" s="666"/>
      <c r="B159" s="704" t="s">
        <v>186</v>
      </c>
      <c r="C159" s="707"/>
      <c r="D159" s="705">
        <f>1500</f>
        <v>1500</v>
      </c>
      <c r="E159" s="705">
        <f t="shared" si="4"/>
        <v>-1500</v>
      </c>
      <c r="F159" s="706">
        <f t="shared" si="5"/>
        <v>0</v>
      </c>
      <c r="G159" s="117"/>
      <c r="H159" s="112"/>
      <c r="I159" s="108"/>
      <c r="J159" s="112"/>
      <c r="K159" s="112"/>
      <c r="L159" s="112"/>
      <c r="M159" s="112"/>
    </row>
    <row r="160" spans="1:13" s="118" customFormat="1" x14ac:dyDescent="0.15">
      <c r="A160" s="666"/>
      <c r="B160" s="704" t="s">
        <v>187</v>
      </c>
      <c r="C160" s="705">
        <f>1003.72</f>
        <v>1003.72</v>
      </c>
      <c r="D160" s="705">
        <f>4000</f>
        <v>4000</v>
      </c>
      <c r="E160" s="705">
        <f t="shared" si="4"/>
        <v>-2996.2799999999997</v>
      </c>
      <c r="F160" s="706">
        <f t="shared" si="5"/>
        <v>0.25092999999999999</v>
      </c>
      <c r="G160" s="117"/>
      <c r="H160" s="112"/>
      <c r="I160" s="108"/>
      <c r="J160" s="112"/>
      <c r="K160" s="112"/>
      <c r="L160" s="112"/>
      <c r="M160" s="112"/>
    </row>
    <row r="161" spans="1:13" s="118" customFormat="1" x14ac:dyDescent="0.15">
      <c r="A161" s="666"/>
      <c r="B161" s="761" t="s">
        <v>188</v>
      </c>
      <c r="C161" s="762">
        <f>2117.29</f>
        <v>2117.29</v>
      </c>
      <c r="D161" s="762">
        <f>1000</f>
        <v>1000</v>
      </c>
      <c r="E161" s="762">
        <f t="shared" si="4"/>
        <v>1117.29</v>
      </c>
      <c r="F161" s="763">
        <f t="shared" si="5"/>
        <v>2.1172900000000001</v>
      </c>
      <c r="G161" s="117"/>
      <c r="H161" s="112"/>
      <c r="I161" s="108"/>
      <c r="J161" s="112"/>
      <c r="K161" s="112"/>
      <c r="L161" s="112"/>
      <c r="M161" s="112"/>
    </row>
    <row r="162" spans="1:13" s="118" customFormat="1" x14ac:dyDescent="0.15">
      <c r="A162" s="666"/>
      <c r="B162" s="704" t="s">
        <v>189</v>
      </c>
      <c r="C162" s="707"/>
      <c r="D162" s="705">
        <f>500</f>
        <v>500</v>
      </c>
      <c r="E162" s="705">
        <f t="shared" si="4"/>
        <v>-500</v>
      </c>
      <c r="F162" s="706">
        <f t="shared" si="5"/>
        <v>0</v>
      </c>
      <c r="G162" s="117"/>
      <c r="H162" s="112"/>
      <c r="I162" s="108"/>
      <c r="J162" s="112"/>
      <c r="K162" s="112"/>
      <c r="L162" s="112"/>
      <c r="M162" s="112"/>
    </row>
    <row r="163" spans="1:13" s="118" customFormat="1" x14ac:dyDescent="0.15">
      <c r="A163" s="666"/>
      <c r="B163" s="761" t="s">
        <v>190</v>
      </c>
      <c r="C163" s="762">
        <f>709.62</f>
        <v>709.62</v>
      </c>
      <c r="D163" s="762">
        <f>200</f>
        <v>200</v>
      </c>
      <c r="E163" s="762">
        <f t="shared" si="4"/>
        <v>509.62</v>
      </c>
      <c r="F163" s="763">
        <f t="shared" si="5"/>
        <v>3.5480999999999998</v>
      </c>
      <c r="G163" s="117"/>
      <c r="H163" s="112"/>
      <c r="I163" s="108"/>
      <c r="J163" s="112"/>
      <c r="K163" s="112"/>
      <c r="L163" s="112"/>
      <c r="M163" s="112"/>
    </row>
    <row r="164" spans="1:13" s="118" customFormat="1" x14ac:dyDescent="0.15">
      <c r="A164" s="666"/>
      <c r="B164" s="704" t="s">
        <v>191</v>
      </c>
      <c r="C164" s="707"/>
      <c r="D164" s="705">
        <f>250</f>
        <v>250</v>
      </c>
      <c r="E164" s="705">
        <f t="shared" si="4"/>
        <v>-250</v>
      </c>
      <c r="F164" s="706">
        <f t="shared" si="5"/>
        <v>0</v>
      </c>
      <c r="G164" s="117"/>
      <c r="H164" s="112"/>
      <c r="I164" s="108"/>
      <c r="J164" s="112"/>
      <c r="K164" s="112"/>
      <c r="L164" s="112"/>
      <c r="M164" s="112"/>
    </row>
    <row r="165" spans="1:13" s="118" customFormat="1" x14ac:dyDescent="0.15">
      <c r="A165" s="666"/>
      <c r="B165" s="704" t="s">
        <v>192</v>
      </c>
      <c r="C165" s="707"/>
      <c r="D165" s="705">
        <f>0</f>
        <v>0</v>
      </c>
      <c r="E165" s="705">
        <f t="shared" si="4"/>
        <v>0</v>
      </c>
      <c r="F165" s="706" t="str">
        <f t="shared" si="5"/>
        <v/>
      </c>
      <c r="G165" s="117"/>
      <c r="H165" s="112"/>
      <c r="I165" s="108"/>
      <c r="J165" s="112"/>
      <c r="K165" s="112"/>
      <c r="L165" s="112"/>
      <c r="M165" s="112"/>
    </row>
    <row r="166" spans="1:13" s="118" customFormat="1" x14ac:dyDescent="0.15">
      <c r="A166" s="666"/>
      <c r="B166" s="704" t="s">
        <v>193</v>
      </c>
      <c r="C166" s="705">
        <f>364.06</f>
        <v>364.06</v>
      </c>
      <c r="D166" s="705">
        <f>2200</f>
        <v>2200</v>
      </c>
      <c r="E166" s="705">
        <f t="shared" si="4"/>
        <v>-1835.94</v>
      </c>
      <c r="F166" s="706">
        <f t="shared" si="5"/>
        <v>0.16548181818181817</v>
      </c>
      <c r="G166" s="117"/>
      <c r="H166" s="112"/>
      <c r="I166" s="108"/>
      <c r="J166" s="112"/>
      <c r="K166" s="112"/>
      <c r="L166" s="112"/>
      <c r="M166" s="112"/>
    </row>
    <row r="167" spans="1:13" s="118" customFormat="1" x14ac:dyDescent="0.15">
      <c r="A167" s="666"/>
      <c r="B167" s="704" t="s">
        <v>194</v>
      </c>
      <c r="C167" s="707"/>
      <c r="D167" s="705">
        <f>1500</f>
        <v>1500</v>
      </c>
      <c r="E167" s="705">
        <f t="shared" si="4"/>
        <v>-1500</v>
      </c>
      <c r="F167" s="706">
        <f t="shared" si="5"/>
        <v>0</v>
      </c>
      <c r="G167" s="117"/>
      <c r="H167" s="112"/>
      <c r="I167" s="108"/>
      <c r="J167" s="112"/>
      <c r="K167" s="112"/>
      <c r="L167" s="112"/>
      <c r="M167" s="112"/>
    </row>
    <row r="168" spans="1:13" s="118" customFormat="1" x14ac:dyDescent="0.15">
      <c r="A168" s="666"/>
      <c r="B168" s="704" t="s">
        <v>195</v>
      </c>
      <c r="C168" s="707"/>
      <c r="D168" s="705">
        <f>0</f>
        <v>0</v>
      </c>
      <c r="E168" s="705">
        <f t="shared" si="4"/>
        <v>0</v>
      </c>
      <c r="F168" s="706" t="str">
        <f t="shared" si="5"/>
        <v/>
      </c>
      <c r="G168" s="117"/>
      <c r="H168" s="112"/>
      <c r="I168" s="108"/>
      <c r="J168" s="112"/>
      <c r="K168" s="112"/>
      <c r="L168" s="112"/>
      <c r="M168" s="112"/>
    </row>
    <row r="169" spans="1:13" s="118" customFormat="1" x14ac:dyDescent="0.15">
      <c r="A169" s="666"/>
      <c r="B169" s="704" t="s">
        <v>196</v>
      </c>
      <c r="C169" s="707"/>
      <c r="D169" s="705">
        <f>1000</f>
        <v>1000</v>
      </c>
      <c r="E169" s="705">
        <f t="shared" si="4"/>
        <v>-1000</v>
      </c>
      <c r="F169" s="706">
        <f t="shared" si="5"/>
        <v>0</v>
      </c>
      <c r="G169" s="117"/>
      <c r="H169" s="112"/>
      <c r="I169" s="108"/>
      <c r="J169" s="112"/>
      <c r="K169" s="112"/>
      <c r="L169" s="112"/>
      <c r="M169" s="112"/>
    </row>
    <row r="170" spans="1:13" s="118" customFormat="1" x14ac:dyDescent="0.15">
      <c r="A170" s="666"/>
      <c r="B170" s="704" t="s">
        <v>197</v>
      </c>
      <c r="C170" s="705">
        <f>1126.82</f>
        <v>1126.82</v>
      </c>
      <c r="D170" s="705">
        <f>2000</f>
        <v>2000</v>
      </c>
      <c r="E170" s="705">
        <f t="shared" si="4"/>
        <v>-873.18000000000006</v>
      </c>
      <c r="F170" s="706">
        <f t="shared" si="5"/>
        <v>0.56340999999999997</v>
      </c>
      <c r="G170" s="117"/>
      <c r="H170" s="112"/>
      <c r="I170" s="108"/>
      <c r="J170" s="112"/>
      <c r="K170" s="112"/>
      <c r="L170" s="112"/>
      <c r="M170" s="112"/>
    </row>
    <row r="171" spans="1:13" s="118" customFormat="1" x14ac:dyDescent="0.15">
      <c r="A171" s="666"/>
      <c r="B171" s="704" t="s">
        <v>198</v>
      </c>
      <c r="C171" s="707"/>
      <c r="D171" s="705">
        <f>0</f>
        <v>0</v>
      </c>
      <c r="E171" s="705">
        <f t="shared" si="4"/>
        <v>0</v>
      </c>
      <c r="F171" s="706" t="str">
        <f t="shared" si="5"/>
        <v/>
      </c>
      <c r="G171" s="117"/>
      <c r="H171" s="112"/>
      <c r="I171" s="108"/>
      <c r="J171" s="112"/>
      <c r="K171" s="112"/>
      <c r="L171" s="112"/>
      <c r="M171" s="112"/>
    </row>
    <row r="172" spans="1:13" s="118" customFormat="1" x14ac:dyDescent="0.15">
      <c r="A172" s="666"/>
      <c r="B172" s="704" t="s">
        <v>199</v>
      </c>
      <c r="C172" s="707"/>
      <c r="D172" s="705">
        <f>500</f>
        <v>500</v>
      </c>
      <c r="E172" s="705">
        <f t="shared" si="4"/>
        <v>-500</v>
      </c>
      <c r="F172" s="706">
        <f t="shared" si="5"/>
        <v>0</v>
      </c>
      <c r="G172" s="117"/>
      <c r="H172" s="112"/>
      <c r="I172" s="108"/>
      <c r="J172" s="112"/>
      <c r="K172" s="112"/>
      <c r="L172" s="112"/>
      <c r="M172" s="112"/>
    </row>
    <row r="173" spans="1:13" s="118" customFormat="1" x14ac:dyDescent="0.15">
      <c r="A173" s="666"/>
      <c r="B173" s="704" t="s">
        <v>200</v>
      </c>
      <c r="C173" s="707"/>
      <c r="D173" s="705">
        <f>1200</f>
        <v>1200</v>
      </c>
      <c r="E173" s="705">
        <f t="shared" si="4"/>
        <v>-1200</v>
      </c>
      <c r="F173" s="706">
        <f t="shared" si="5"/>
        <v>0</v>
      </c>
      <c r="G173" s="117"/>
      <c r="H173" s="112"/>
      <c r="I173" s="108"/>
      <c r="J173" s="112"/>
      <c r="K173" s="112"/>
      <c r="L173" s="112"/>
      <c r="M173" s="112"/>
    </row>
    <row r="174" spans="1:13" s="118" customFormat="1" x14ac:dyDescent="0.15">
      <c r="A174" s="666"/>
      <c r="B174" s="704" t="s">
        <v>201</v>
      </c>
      <c r="C174" s="705">
        <f>6626.45</f>
        <v>6626.45</v>
      </c>
      <c r="D174" s="705">
        <f>9000</f>
        <v>9000</v>
      </c>
      <c r="E174" s="705">
        <f t="shared" si="4"/>
        <v>-2373.5500000000002</v>
      </c>
      <c r="F174" s="706">
        <f t="shared" si="5"/>
        <v>0.73627222222222222</v>
      </c>
      <c r="G174" s="117"/>
      <c r="H174" s="112"/>
      <c r="I174" s="108"/>
      <c r="J174" s="112"/>
      <c r="K174" s="112"/>
      <c r="L174" s="112"/>
      <c r="M174" s="112"/>
    </row>
    <row r="175" spans="1:13" s="118" customFormat="1" x14ac:dyDescent="0.15">
      <c r="A175" s="666"/>
      <c r="B175" s="704" t="s">
        <v>202</v>
      </c>
      <c r="C175" s="707"/>
      <c r="D175" s="705">
        <f>0</f>
        <v>0</v>
      </c>
      <c r="E175" s="705">
        <f t="shared" si="4"/>
        <v>0</v>
      </c>
      <c r="F175" s="706" t="str">
        <f t="shared" si="5"/>
        <v/>
      </c>
      <c r="G175" s="117"/>
      <c r="H175" s="112"/>
      <c r="I175" s="108"/>
      <c r="J175" s="112"/>
      <c r="K175" s="112"/>
      <c r="L175" s="112"/>
      <c r="M175" s="112"/>
    </row>
    <row r="176" spans="1:13" s="118" customFormat="1" x14ac:dyDescent="0.15">
      <c r="A176" s="666"/>
      <c r="B176" s="704" t="s">
        <v>203</v>
      </c>
      <c r="C176" s="707"/>
      <c r="D176" s="705">
        <f>0</f>
        <v>0</v>
      </c>
      <c r="E176" s="705">
        <f t="shared" si="4"/>
        <v>0</v>
      </c>
      <c r="F176" s="706" t="str">
        <f t="shared" si="5"/>
        <v/>
      </c>
      <c r="G176" s="117"/>
      <c r="H176" s="112"/>
      <c r="I176" s="108"/>
      <c r="J176" s="112"/>
      <c r="K176" s="112"/>
      <c r="L176" s="112"/>
      <c r="M176" s="112"/>
    </row>
    <row r="177" spans="1:13" s="118" customFormat="1" x14ac:dyDescent="0.15">
      <c r="A177" s="666"/>
      <c r="B177" s="704" t="s">
        <v>204</v>
      </c>
      <c r="C177" s="705">
        <f>141</f>
        <v>141</v>
      </c>
      <c r="D177" s="705">
        <f>175</f>
        <v>175</v>
      </c>
      <c r="E177" s="705">
        <f t="shared" si="4"/>
        <v>-34</v>
      </c>
      <c r="F177" s="706">
        <f t="shared" si="5"/>
        <v>0.80571428571428572</v>
      </c>
      <c r="G177" s="117"/>
      <c r="H177" s="112"/>
      <c r="I177" s="108"/>
      <c r="J177" s="112"/>
      <c r="K177" s="112"/>
      <c r="L177" s="112"/>
      <c r="M177" s="112"/>
    </row>
    <row r="178" spans="1:13" s="118" customFormat="1" x14ac:dyDescent="0.15">
      <c r="A178" s="666"/>
      <c r="B178" s="704" t="s">
        <v>205</v>
      </c>
      <c r="C178" s="707"/>
      <c r="D178" s="705">
        <f>0</f>
        <v>0</v>
      </c>
      <c r="E178" s="705">
        <f t="shared" si="4"/>
        <v>0</v>
      </c>
      <c r="F178" s="706" t="str">
        <f t="shared" si="5"/>
        <v/>
      </c>
      <c r="G178" s="117"/>
      <c r="H178" s="112"/>
      <c r="I178" s="108"/>
      <c r="J178" s="112"/>
      <c r="K178" s="112"/>
      <c r="L178" s="112"/>
      <c r="M178" s="112"/>
    </row>
    <row r="179" spans="1:13" s="118" customFormat="1" x14ac:dyDescent="0.15">
      <c r="A179" s="666"/>
      <c r="B179" s="704" t="s">
        <v>206</v>
      </c>
      <c r="C179" s="707"/>
      <c r="D179" s="705">
        <f>100</f>
        <v>100</v>
      </c>
      <c r="E179" s="705">
        <f t="shared" si="4"/>
        <v>-100</v>
      </c>
      <c r="F179" s="706">
        <f t="shared" si="5"/>
        <v>0</v>
      </c>
      <c r="G179" s="117"/>
      <c r="H179" s="112"/>
      <c r="I179" s="108"/>
      <c r="J179" s="112"/>
      <c r="K179" s="112"/>
      <c r="L179" s="112"/>
      <c r="M179" s="112"/>
    </row>
    <row r="180" spans="1:13" s="118" customFormat="1" x14ac:dyDescent="0.15">
      <c r="A180" s="666"/>
      <c r="B180" s="704" t="s">
        <v>207</v>
      </c>
      <c r="C180" s="705">
        <f>5494.45</f>
        <v>5494.45</v>
      </c>
      <c r="D180" s="705">
        <f>12000</f>
        <v>12000</v>
      </c>
      <c r="E180" s="705">
        <f t="shared" si="4"/>
        <v>-6505.55</v>
      </c>
      <c r="F180" s="706">
        <f t="shared" si="5"/>
        <v>0.45787083333333334</v>
      </c>
      <c r="G180" s="117"/>
      <c r="H180" s="112"/>
      <c r="I180" s="108"/>
      <c r="J180" s="112"/>
      <c r="K180" s="112"/>
      <c r="L180" s="112"/>
      <c r="M180" s="112"/>
    </row>
    <row r="181" spans="1:13" s="118" customFormat="1" x14ac:dyDescent="0.15">
      <c r="A181" s="666"/>
      <c r="B181" s="761" t="s">
        <v>208</v>
      </c>
      <c r="C181" s="762">
        <f>3209.14</f>
        <v>3209.14</v>
      </c>
      <c r="D181" s="762">
        <f>2500</f>
        <v>2500</v>
      </c>
      <c r="E181" s="762">
        <f t="shared" si="4"/>
        <v>709.13999999999987</v>
      </c>
      <c r="F181" s="763">
        <f t="shared" si="5"/>
        <v>1.2836559999999999</v>
      </c>
      <c r="G181" s="117"/>
      <c r="H181" s="112"/>
      <c r="I181" s="108"/>
      <c r="J181" s="112"/>
      <c r="K181" s="112"/>
      <c r="L181" s="112"/>
      <c r="M181" s="112"/>
    </row>
    <row r="182" spans="1:13" s="118" customFormat="1" x14ac:dyDescent="0.15">
      <c r="A182" s="666"/>
      <c r="B182" s="704" t="s">
        <v>209</v>
      </c>
      <c r="C182" s="707"/>
      <c r="D182" s="705">
        <f>0</f>
        <v>0</v>
      </c>
      <c r="E182" s="705">
        <f t="shared" si="4"/>
        <v>0</v>
      </c>
      <c r="F182" s="706" t="str">
        <f t="shared" si="5"/>
        <v/>
      </c>
      <c r="G182" s="117"/>
      <c r="H182" s="112"/>
      <c r="I182" s="108"/>
      <c r="J182" s="112"/>
      <c r="K182" s="112"/>
      <c r="L182" s="112"/>
      <c r="M182" s="112"/>
    </row>
    <row r="183" spans="1:13" s="118" customFormat="1" x14ac:dyDescent="0.15">
      <c r="A183" s="666"/>
      <c r="B183" s="704" t="s">
        <v>210</v>
      </c>
      <c r="C183" s="705">
        <f>69.65</f>
        <v>69.650000000000006</v>
      </c>
      <c r="D183" s="705">
        <f>4000</f>
        <v>4000</v>
      </c>
      <c r="E183" s="705">
        <f t="shared" si="4"/>
        <v>-3930.35</v>
      </c>
      <c r="F183" s="706">
        <f t="shared" si="5"/>
        <v>1.7412500000000001E-2</v>
      </c>
      <c r="G183" s="117"/>
      <c r="H183" s="112"/>
      <c r="I183" s="108"/>
      <c r="J183" s="112"/>
      <c r="K183" s="112"/>
      <c r="L183" s="112"/>
      <c r="M183" s="112"/>
    </row>
    <row r="184" spans="1:13" s="118" customFormat="1" x14ac:dyDescent="0.15">
      <c r="A184" s="666"/>
      <c r="B184" s="704" t="s">
        <v>211</v>
      </c>
      <c r="C184" s="707"/>
      <c r="D184" s="705">
        <f>2000</f>
        <v>2000</v>
      </c>
      <c r="E184" s="705">
        <f t="shared" si="4"/>
        <v>-2000</v>
      </c>
      <c r="F184" s="706">
        <f t="shared" si="5"/>
        <v>0</v>
      </c>
      <c r="G184" s="117"/>
      <c r="H184" s="112"/>
      <c r="I184" s="108"/>
      <c r="J184" s="112"/>
      <c r="K184" s="112"/>
      <c r="L184" s="112"/>
      <c r="M184" s="112"/>
    </row>
    <row r="185" spans="1:13" s="118" customFormat="1" x14ac:dyDescent="0.15">
      <c r="A185" s="666"/>
      <c r="B185" s="704" t="s">
        <v>212</v>
      </c>
      <c r="C185" s="707"/>
      <c r="D185" s="705">
        <f>2000</f>
        <v>2000</v>
      </c>
      <c r="E185" s="705">
        <f t="shared" si="4"/>
        <v>-2000</v>
      </c>
      <c r="F185" s="706">
        <f t="shared" si="5"/>
        <v>0</v>
      </c>
      <c r="G185" s="117"/>
      <c r="H185" s="112"/>
      <c r="I185" s="108"/>
      <c r="J185" s="112"/>
      <c r="K185" s="112"/>
      <c r="L185" s="112"/>
      <c r="M185" s="112"/>
    </row>
    <row r="186" spans="1:13" s="118" customFormat="1" x14ac:dyDescent="0.15">
      <c r="A186" s="666"/>
      <c r="B186" s="704" t="s">
        <v>213</v>
      </c>
      <c r="C186" s="705">
        <f>-204.23</f>
        <v>-204.23</v>
      </c>
      <c r="D186" s="705">
        <f>250</f>
        <v>250</v>
      </c>
      <c r="E186" s="705">
        <f t="shared" si="4"/>
        <v>-454.23</v>
      </c>
      <c r="F186" s="709">
        <f t="shared" si="5"/>
        <v>-0.81691999999999998</v>
      </c>
      <c r="G186" s="117"/>
      <c r="H186" s="112"/>
      <c r="I186" s="108"/>
      <c r="J186" s="112"/>
      <c r="K186" s="112"/>
      <c r="L186" s="112"/>
      <c r="M186" s="112"/>
    </row>
    <row r="187" spans="1:13" s="118" customFormat="1" x14ac:dyDescent="0.15">
      <c r="A187" s="666"/>
      <c r="B187" s="704" t="s">
        <v>214</v>
      </c>
      <c r="C187" s="707"/>
      <c r="D187" s="705">
        <f>1200</f>
        <v>1200</v>
      </c>
      <c r="E187" s="705">
        <f t="shared" si="4"/>
        <v>-1200</v>
      </c>
      <c r="F187" s="706">
        <f t="shared" si="5"/>
        <v>0</v>
      </c>
      <c r="G187" s="117"/>
      <c r="H187" s="112"/>
      <c r="I187" s="108"/>
      <c r="J187" s="112"/>
      <c r="K187" s="112"/>
      <c r="L187" s="112"/>
      <c r="M187" s="112"/>
    </row>
    <row r="188" spans="1:13" s="118" customFormat="1" x14ac:dyDescent="0.15">
      <c r="A188" s="666"/>
      <c r="B188" s="704" t="s">
        <v>215</v>
      </c>
      <c r="C188" s="705">
        <f>1933.51</f>
        <v>1933.51</v>
      </c>
      <c r="D188" s="705">
        <f>-1500</f>
        <v>-1500</v>
      </c>
      <c r="E188" s="705">
        <f t="shared" si="4"/>
        <v>3433.51</v>
      </c>
      <c r="F188" s="709">
        <f t="shared" si="5"/>
        <v>-1.2890066666666666</v>
      </c>
      <c r="G188" s="117"/>
      <c r="H188" s="112"/>
      <c r="I188" s="108"/>
      <c r="J188" s="112"/>
      <c r="K188" s="112"/>
      <c r="L188" s="112"/>
      <c r="M188" s="112"/>
    </row>
    <row r="189" spans="1:13" s="118" customFormat="1" x14ac:dyDescent="0.15">
      <c r="A189" s="666"/>
      <c r="B189" s="704" t="s">
        <v>216</v>
      </c>
      <c r="C189" s="707"/>
      <c r="D189" s="705">
        <f>0</f>
        <v>0</v>
      </c>
      <c r="E189" s="705">
        <f t="shared" si="4"/>
        <v>0</v>
      </c>
      <c r="F189" s="706" t="str">
        <f t="shared" si="5"/>
        <v/>
      </c>
      <c r="G189" s="117"/>
      <c r="H189" s="112"/>
      <c r="I189" s="108"/>
      <c r="J189" s="112"/>
      <c r="K189" s="112"/>
      <c r="L189" s="112"/>
      <c r="M189" s="112"/>
    </row>
    <row r="190" spans="1:13" s="118" customFormat="1" x14ac:dyDescent="0.15">
      <c r="A190" s="666"/>
      <c r="B190" s="761" t="s">
        <v>217</v>
      </c>
      <c r="C190" s="762">
        <f>1930.83</f>
        <v>1930.83</v>
      </c>
      <c r="D190" s="762">
        <f>1500</f>
        <v>1500</v>
      </c>
      <c r="E190" s="762">
        <f t="shared" si="4"/>
        <v>430.82999999999993</v>
      </c>
      <c r="F190" s="763">
        <f t="shared" si="5"/>
        <v>1.28722</v>
      </c>
      <c r="G190" s="117"/>
      <c r="H190" s="112"/>
      <c r="I190" s="108"/>
      <c r="J190" s="112"/>
      <c r="K190" s="112"/>
      <c r="L190" s="112"/>
      <c r="M190" s="112"/>
    </row>
    <row r="191" spans="1:13" s="118" customFormat="1" x14ac:dyDescent="0.15">
      <c r="A191" s="666"/>
      <c r="B191" s="704" t="s">
        <v>218</v>
      </c>
      <c r="C191" s="705">
        <f>494.84</f>
        <v>494.84</v>
      </c>
      <c r="D191" s="705">
        <f>2200</f>
        <v>2200</v>
      </c>
      <c r="E191" s="705">
        <f t="shared" si="4"/>
        <v>-1705.16</v>
      </c>
      <c r="F191" s="706">
        <f t="shared" si="5"/>
        <v>0.22492727272727273</v>
      </c>
      <c r="G191" s="117"/>
      <c r="H191" s="112"/>
      <c r="I191" s="108"/>
      <c r="J191" s="112"/>
      <c r="K191" s="112"/>
      <c r="L191" s="112"/>
      <c r="M191" s="112"/>
    </row>
    <row r="192" spans="1:13" s="118" customFormat="1" x14ac:dyDescent="0.15">
      <c r="A192" s="666"/>
      <c r="B192" s="704" t="s">
        <v>219</v>
      </c>
      <c r="C192" s="707"/>
      <c r="D192" s="705">
        <f>0</f>
        <v>0</v>
      </c>
      <c r="E192" s="705">
        <f t="shared" si="4"/>
        <v>0</v>
      </c>
      <c r="F192" s="706" t="str">
        <f t="shared" si="5"/>
        <v/>
      </c>
      <c r="G192" s="117"/>
      <c r="H192" s="112"/>
      <c r="I192" s="108"/>
      <c r="J192" s="112"/>
      <c r="K192" s="112"/>
      <c r="L192" s="112"/>
      <c r="M192" s="112"/>
    </row>
    <row r="193" spans="1:13" s="118" customFormat="1" x14ac:dyDescent="0.15">
      <c r="A193" s="666"/>
      <c r="B193" s="704" t="s">
        <v>220</v>
      </c>
      <c r="C193" s="707"/>
      <c r="D193" s="705">
        <f>200</f>
        <v>200</v>
      </c>
      <c r="E193" s="705">
        <f t="shared" ref="E193:E247" si="6">(C193)-(D193)</f>
        <v>-200</v>
      </c>
      <c r="F193" s="706">
        <f t="shared" ref="F193:F247" si="7">IF(D193=0,"",(C193)/(D193))</f>
        <v>0</v>
      </c>
      <c r="G193" s="117"/>
      <c r="H193" s="112"/>
      <c r="I193" s="108"/>
      <c r="J193" s="112"/>
      <c r="K193" s="112"/>
      <c r="L193" s="112"/>
      <c r="M193" s="112"/>
    </row>
    <row r="194" spans="1:13" s="118" customFormat="1" x14ac:dyDescent="0.15">
      <c r="A194" s="666"/>
      <c r="B194" s="704" t="s">
        <v>221</v>
      </c>
      <c r="C194" s="705">
        <f>-55</f>
        <v>-55</v>
      </c>
      <c r="D194" s="705">
        <f>0</f>
        <v>0</v>
      </c>
      <c r="E194" s="705">
        <f t="shared" si="6"/>
        <v>-55</v>
      </c>
      <c r="F194" s="706" t="str">
        <f t="shared" si="7"/>
        <v/>
      </c>
      <c r="G194" s="117"/>
      <c r="H194" s="112"/>
      <c r="I194" s="108"/>
      <c r="J194" s="112"/>
      <c r="K194" s="112"/>
      <c r="L194" s="112"/>
      <c r="M194" s="112"/>
    </row>
    <row r="195" spans="1:13" s="118" customFormat="1" x14ac:dyDescent="0.15">
      <c r="A195" s="666"/>
      <c r="B195" s="704" t="s">
        <v>222</v>
      </c>
      <c r="C195" s="705">
        <f>-78</f>
        <v>-78</v>
      </c>
      <c r="D195" s="705">
        <f>0</f>
        <v>0</v>
      </c>
      <c r="E195" s="705">
        <f t="shared" si="6"/>
        <v>-78</v>
      </c>
      <c r="F195" s="706" t="str">
        <f t="shared" si="7"/>
        <v/>
      </c>
      <c r="G195" s="117"/>
      <c r="H195" s="112"/>
      <c r="I195" s="108"/>
      <c r="J195" s="112"/>
      <c r="K195" s="112"/>
      <c r="L195" s="112"/>
      <c r="M195" s="112"/>
    </row>
    <row r="196" spans="1:13" s="118" customFormat="1" x14ac:dyDescent="0.15">
      <c r="A196" s="666"/>
      <c r="B196" s="704" t="s">
        <v>223</v>
      </c>
      <c r="C196" s="705">
        <f>884.45</f>
        <v>884.45</v>
      </c>
      <c r="D196" s="705">
        <f>1000</f>
        <v>1000</v>
      </c>
      <c r="E196" s="705">
        <f t="shared" si="6"/>
        <v>-115.54999999999995</v>
      </c>
      <c r="F196" s="706">
        <f t="shared" si="7"/>
        <v>0.88445000000000007</v>
      </c>
      <c r="G196" s="117"/>
      <c r="H196" s="112"/>
      <c r="I196" s="108"/>
      <c r="J196" s="112"/>
      <c r="K196" s="112"/>
      <c r="L196" s="112"/>
      <c r="M196" s="112"/>
    </row>
    <row r="197" spans="1:13" s="118" customFormat="1" x14ac:dyDescent="0.15">
      <c r="A197" s="666"/>
      <c r="B197" s="704" t="s">
        <v>224</v>
      </c>
      <c r="C197" s="707"/>
      <c r="D197" s="705">
        <f>1000</f>
        <v>1000</v>
      </c>
      <c r="E197" s="705">
        <f t="shared" si="6"/>
        <v>-1000</v>
      </c>
      <c r="F197" s="706">
        <f t="shared" si="7"/>
        <v>0</v>
      </c>
      <c r="G197" s="117"/>
      <c r="H197" s="112"/>
      <c r="I197" s="108"/>
      <c r="J197" s="112"/>
      <c r="K197" s="112"/>
      <c r="L197" s="112"/>
      <c r="M197" s="112"/>
    </row>
    <row r="198" spans="1:13" s="118" customFormat="1" x14ac:dyDescent="0.15">
      <c r="A198" s="666"/>
      <c r="B198" s="704" t="s">
        <v>225</v>
      </c>
      <c r="C198" s="707"/>
      <c r="D198" s="705">
        <f>0</f>
        <v>0</v>
      </c>
      <c r="E198" s="705">
        <f t="shared" si="6"/>
        <v>0</v>
      </c>
      <c r="F198" s="706" t="str">
        <f t="shared" si="7"/>
        <v/>
      </c>
      <c r="G198" s="117"/>
      <c r="H198" s="112"/>
      <c r="I198" s="108"/>
      <c r="J198" s="112"/>
      <c r="K198" s="112"/>
      <c r="L198" s="112"/>
      <c r="M198" s="112"/>
    </row>
    <row r="199" spans="1:13" s="118" customFormat="1" x14ac:dyDescent="0.15">
      <c r="A199" s="666"/>
      <c r="B199" s="704" t="s">
        <v>226</v>
      </c>
      <c r="C199" s="707"/>
      <c r="D199" s="705">
        <f>100</f>
        <v>100</v>
      </c>
      <c r="E199" s="705">
        <f t="shared" si="6"/>
        <v>-100</v>
      </c>
      <c r="F199" s="706">
        <f t="shared" si="7"/>
        <v>0</v>
      </c>
      <c r="G199" s="117"/>
      <c r="H199" s="112"/>
      <c r="I199" s="108"/>
      <c r="J199" s="112"/>
      <c r="K199" s="112"/>
      <c r="L199" s="112"/>
      <c r="M199" s="112"/>
    </row>
    <row r="200" spans="1:13" s="118" customFormat="1" x14ac:dyDescent="0.15">
      <c r="A200" s="666"/>
      <c r="B200" s="704" t="s">
        <v>227</v>
      </c>
      <c r="C200" s="707"/>
      <c r="D200" s="705">
        <f>500</f>
        <v>500</v>
      </c>
      <c r="E200" s="705">
        <f t="shared" si="6"/>
        <v>-500</v>
      </c>
      <c r="F200" s="706">
        <f t="shared" si="7"/>
        <v>0</v>
      </c>
      <c r="G200" s="117"/>
      <c r="H200" s="112"/>
      <c r="I200" s="108"/>
      <c r="J200" s="112"/>
      <c r="K200" s="112"/>
      <c r="L200" s="112"/>
      <c r="M200" s="112"/>
    </row>
    <row r="201" spans="1:13" s="118" customFormat="1" x14ac:dyDescent="0.15">
      <c r="A201" s="666"/>
      <c r="B201" s="704" t="s">
        <v>228</v>
      </c>
      <c r="C201" s="707"/>
      <c r="D201" s="705">
        <f>250</f>
        <v>250</v>
      </c>
      <c r="E201" s="705">
        <f t="shared" si="6"/>
        <v>-250</v>
      </c>
      <c r="F201" s="706">
        <f t="shared" si="7"/>
        <v>0</v>
      </c>
      <c r="G201" s="117"/>
      <c r="H201" s="112"/>
      <c r="I201" s="108"/>
      <c r="J201" s="112"/>
      <c r="K201" s="112"/>
      <c r="L201" s="112"/>
      <c r="M201" s="112"/>
    </row>
    <row r="202" spans="1:13" s="118" customFormat="1" x14ac:dyDescent="0.15">
      <c r="A202" s="666"/>
      <c r="B202" s="704" t="s">
        <v>229</v>
      </c>
      <c r="C202" s="705">
        <f>1144.12</f>
        <v>1144.1199999999999</v>
      </c>
      <c r="D202" s="705">
        <f>5000</f>
        <v>5000</v>
      </c>
      <c r="E202" s="705">
        <f t="shared" si="6"/>
        <v>-3855.88</v>
      </c>
      <c r="F202" s="706">
        <f t="shared" si="7"/>
        <v>0.22882399999999997</v>
      </c>
      <c r="G202" s="117"/>
      <c r="H202" s="112"/>
      <c r="I202" s="108"/>
      <c r="J202" s="112"/>
      <c r="K202" s="112"/>
      <c r="L202" s="112"/>
      <c r="M202" s="112"/>
    </row>
    <row r="203" spans="1:13" s="118" customFormat="1" x14ac:dyDescent="0.15">
      <c r="A203" s="666"/>
      <c r="B203" s="704" t="s">
        <v>230</v>
      </c>
      <c r="C203" s="705">
        <f>500</f>
        <v>500</v>
      </c>
      <c r="D203" s="705">
        <f>500</f>
        <v>500</v>
      </c>
      <c r="E203" s="705">
        <f t="shared" si="6"/>
        <v>0</v>
      </c>
      <c r="F203" s="706">
        <f t="shared" si="7"/>
        <v>1</v>
      </c>
      <c r="G203" s="117"/>
      <c r="H203" s="112"/>
      <c r="I203" s="108"/>
      <c r="J203" s="112"/>
      <c r="K203" s="112"/>
      <c r="L203" s="112"/>
      <c r="M203" s="112"/>
    </row>
    <row r="204" spans="1:13" s="118" customFormat="1" x14ac:dyDescent="0.15">
      <c r="A204" s="666"/>
      <c r="B204" s="736" t="s">
        <v>231</v>
      </c>
      <c r="C204" s="737">
        <f>((((((((((((((((((((((((((((((((((((((((((((((((((((((((((((((((C139)+(C140))+(C141))+(C142))+(C143))+(C144))+(C145))+(C146))+(C147))+(C148))+(C149))+(C150))+(C151))+(C152))+(C153))+(C154))+(C155))+(C156))+(C157))+(C158))+(C159))+(C160))+(C161))+(C162))+(C163))+(C164))+(C165))+(C166))+(C167))+(C168))+(C169))+(C170))+(C171))+(C172))+(C173))+(C174))+(C175))+(C176))+(C177))+(C178))+(C179))+(C180))+(C181))+(C182))+(C183))+(C184))+(C185))+(C186))+(C187))+(C188))+(C189))+(C190))+(C191))+(C192))+(C193))+(C194))+(C195))+(C196))+(C197))+(C198))+(C199))+(C200))+(C201))+(C202))+(C203)</f>
        <v>25294.390000000003</v>
      </c>
      <c r="D204" s="737">
        <f>((((((((((((((((((((((((((((((((((((((((((((((((((((((((((((((((D139)+(D140))+(D141))+(D142))+(D143))+(D144))+(D145))+(D146))+(D147))+(D148))+(D149))+(D150))+(D151))+(D152))+(D153))+(D154))+(D155))+(D156))+(D157))+(D158))+(D159))+(D160))+(D161))+(D162))+(D163))+(D164))+(D165))+(D166))+(D167))+(D168))+(D169))+(D170))+(D171))+(D172))+(D173))+(D174))+(D175))+(D176))+(D177))+(D178))+(D179))+(D180))+(D181))+(D182))+(D183))+(D184))+(D185))+(D186))+(D187))+(D188))+(D189))+(D190))+(D191))+(D192))+(D193))+(D194))+(D195))+(D196))+(D197))+(D198))+(D199))+(D200))+(D201))+(D202))+(D203)</f>
        <v>107135</v>
      </c>
      <c r="E204" s="737">
        <f t="shared" si="6"/>
        <v>-81840.61</v>
      </c>
      <c r="F204" s="738">
        <f t="shared" si="7"/>
        <v>0.2360982872077286</v>
      </c>
      <c r="G204" s="117"/>
      <c r="H204" s="112"/>
      <c r="I204" s="108"/>
      <c r="J204" s="112"/>
      <c r="K204" s="112"/>
      <c r="L204" s="112"/>
      <c r="M204" s="112"/>
    </row>
    <row r="205" spans="1:13" s="118" customFormat="1" x14ac:dyDescent="0.15">
      <c r="A205" s="666"/>
      <c r="B205" s="740"/>
      <c r="C205" s="741"/>
      <c r="D205" s="741"/>
      <c r="E205" s="741"/>
      <c r="F205" s="742"/>
      <c r="G205" s="117"/>
      <c r="H205" s="112"/>
      <c r="I205" s="108"/>
      <c r="J205" s="112"/>
      <c r="K205" s="112"/>
      <c r="L205" s="112"/>
      <c r="M205" s="112"/>
    </row>
    <row r="206" spans="1:13" s="118" customFormat="1" x14ac:dyDescent="0.15">
      <c r="A206" s="666"/>
      <c r="B206" s="740"/>
      <c r="C206" s="741"/>
      <c r="D206" s="741"/>
      <c r="E206" s="741"/>
      <c r="F206" s="742"/>
      <c r="G206" s="117"/>
      <c r="H206" s="112"/>
      <c r="I206" s="108"/>
      <c r="J206" s="112"/>
      <c r="K206" s="112"/>
      <c r="L206" s="112"/>
      <c r="M206" s="112"/>
    </row>
    <row r="207" spans="1:13" s="118" customFormat="1" x14ac:dyDescent="0.15">
      <c r="A207" s="666"/>
      <c r="B207" s="739" t="s">
        <v>232</v>
      </c>
      <c r="C207" s="745"/>
      <c r="D207" s="745"/>
      <c r="E207" s="746">
        <f t="shared" si="6"/>
        <v>0</v>
      </c>
      <c r="F207" s="747" t="str">
        <f t="shared" si="7"/>
        <v/>
      </c>
      <c r="G207" s="117"/>
      <c r="H207" s="112"/>
      <c r="I207" s="108"/>
      <c r="J207" s="112"/>
      <c r="K207" s="112"/>
      <c r="L207" s="112"/>
      <c r="M207" s="112"/>
    </row>
    <row r="208" spans="1:13" s="118" customFormat="1" x14ac:dyDescent="0.15">
      <c r="A208" s="666"/>
      <c r="B208" s="704" t="s">
        <v>233</v>
      </c>
      <c r="C208" s="707"/>
      <c r="D208" s="707"/>
      <c r="E208" s="705">
        <f t="shared" si="6"/>
        <v>0</v>
      </c>
      <c r="F208" s="706" t="str">
        <f t="shared" si="7"/>
        <v/>
      </c>
      <c r="G208" s="117"/>
      <c r="H208" s="112"/>
      <c r="I208" s="108"/>
      <c r="J208" s="112"/>
      <c r="K208" s="112"/>
      <c r="L208" s="112"/>
      <c r="M208" s="112"/>
    </row>
    <row r="209" spans="1:13" s="118" customFormat="1" x14ac:dyDescent="0.15">
      <c r="A209" s="666"/>
      <c r="B209" s="704" t="s">
        <v>234</v>
      </c>
      <c r="C209" s="705">
        <f>-21963.48</f>
        <v>-21963.48</v>
      </c>
      <c r="D209" s="705">
        <f>-23324</f>
        <v>-23324</v>
      </c>
      <c r="E209" s="705">
        <f t="shared" si="6"/>
        <v>1360.5200000000004</v>
      </c>
      <c r="F209" s="706">
        <f t="shared" si="7"/>
        <v>0.94166866746698674</v>
      </c>
      <c r="G209" s="117"/>
      <c r="H209" s="112"/>
      <c r="I209" s="108"/>
      <c r="J209" s="112"/>
      <c r="K209" s="112"/>
      <c r="L209" s="112"/>
      <c r="M209" s="112"/>
    </row>
    <row r="210" spans="1:13" s="118" customFormat="1" x14ac:dyDescent="0.15">
      <c r="A210" s="666"/>
      <c r="B210" s="704" t="s">
        <v>235</v>
      </c>
      <c r="C210" s="705">
        <f>-1115.6</f>
        <v>-1115.5999999999999</v>
      </c>
      <c r="D210" s="705">
        <f>0</f>
        <v>0</v>
      </c>
      <c r="E210" s="705">
        <f t="shared" si="6"/>
        <v>-1115.5999999999999</v>
      </c>
      <c r="F210" s="706" t="str">
        <f t="shared" si="7"/>
        <v/>
      </c>
      <c r="G210" s="117"/>
      <c r="H210" s="112"/>
      <c r="I210" s="108"/>
      <c r="J210" s="112"/>
      <c r="K210" s="112"/>
      <c r="L210" s="112"/>
      <c r="M210" s="112"/>
    </row>
    <row r="211" spans="1:13" s="118" customFormat="1" x14ac:dyDescent="0.15">
      <c r="A211" s="666"/>
      <c r="B211" s="704" t="s">
        <v>236</v>
      </c>
      <c r="C211" s="705">
        <f>-1712</f>
        <v>-1712</v>
      </c>
      <c r="D211" s="705">
        <f>-32000</f>
        <v>-32000</v>
      </c>
      <c r="E211" s="705">
        <f t="shared" si="6"/>
        <v>30288</v>
      </c>
      <c r="F211" s="706">
        <f t="shared" si="7"/>
        <v>5.3499999999999999E-2</v>
      </c>
      <c r="G211" s="117"/>
      <c r="H211" s="112"/>
      <c r="I211" s="108"/>
      <c r="J211" s="112"/>
      <c r="K211" s="112"/>
      <c r="L211" s="112"/>
      <c r="M211" s="112"/>
    </row>
    <row r="212" spans="1:13" s="118" customFormat="1" x14ac:dyDescent="0.15">
      <c r="A212" s="666"/>
      <c r="B212" s="704" t="s">
        <v>237</v>
      </c>
      <c r="C212" s="705">
        <f>-66</f>
        <v>-66</v>
      </c>
      <c r="D212" s="705">
        <f>-644</f>
        <v>-644</v>
      </c>
      <c r="E212" s="705">
        <f t="shared" si="6"/>
        <v>578</v>
      </c>
      <c r="F212" s="706">
        <f t="shared" si="7"/>
        <v>0.10248447204968944</v>
      </c>
      <c r="G212" s="117"/>
      <c r="H212" s="112"/>
      <c r="I212" s="108"/>
      <c r="J212" s="112"/>
      <c r="K212" s="112"/>
      <c r="L212" s="112"/>
      <c r="M212" s="112"/>
    </row>
    <row r="213" spans="1:13" s="118" customFormat="1" x14ac:dyDescent="0.15">
      <c r="A213" s="666"/>
      <c r="B213" s="736" t="s">
        <v>238</v>
      </c>
      <c r="C213" s="737">
        <f>((((C208)+(C209))+(C210))+(C211))+(C212)</f>
        <v>-24857.079999999998</v>
      </c>
      <c r="D213" s="737">
        <f>((((D208)+(D209))+(D210))+(D211))+(D212)</f>
        <v>-55968</v>
      </c>
      <c r="E213" s="737">
        <f t="shared" si="6"/>
        <v>31110.920000000002</v>
      </c>
      <c r="F213" s="738">
        <f t="shared" si="7"/>
        <v>0.44413021726700969</v>
      </c>
      <c r="G213" s="117"/>
      <c r="H213" s="112"/>
      <c r="I213" s="108"/>
      <c r="J213" s="112"/>
      <c r="K213" s="112"/>
      <c r="L213" s="112"/>
      <c r="M213" s="112"/>
    </row>
    <row r="214" spans="1:13" s="118" customFormat="1" x14ac:dyDescent="0.15">
      <c r="A214" s="666"/>
      <c r="B214" s="740"/>
      <c r="C214" s="741"/>
      <c r="D214" s="741"/>
      <c r="E214" s="741"/>
      <c r="F214" s="742"/>
      <c r="G214" s="117"/>
      <c r="H214" s="112"/>
      <c r="I214" s="108"/>
      <c r="J214" s="112"/>
      <c r="K214" s="112"/>
      <c r="L214" s="112"/>
      <c r="M214" s="112"/>
    </row>
    <row r="215" spans="1:13" s="118" customFormat="1" x14ac:dyDescent="0.15">
      <c r="A215" s="666"/>
      <c r="B215" s="740"/>
      <c r="C215" s="741"/>
      <c r="D215" s="741"/>
      <c r="E215" s="741"/>
      <c r="F215" s="742"/>
      <c r="G215" s="117"/>
      <c r="H215" s="112"/>
      <c r="I215" s="108"/>
      <c r="J215" s="112"/>
      <c r="K215" s="112"/>
      <c r="L215" s="112"/>
      <c r="M215" s="112"/>
    </row>
    <row r="216" spans="1:13" s="118" customFormat="1" x14ac:dyDescent="0.15">
      <c r="A216" s="666"/>
      <c r="B216" s="740" t="s">
        <v>239</v>
      </c>
      <c r="C216" s="707"/>
      <c r="D216" s="707"/>
      <c r="E216" s="705">
        <f t="shared" si="6"/>
        <v>0</v>
      </c>
      <c r="F216" s="706" t="str">
        <f t="shared" si="7"/>
        <v/>
      </c>
      <c r="G216" s="117"/>
      <c r="H216" s="112"/>
      <c r="I216" s="108"/>
      <c r="J216" s="112"/>
      <c r="K216" s="112"/>
      <c r="L216" s="112"/>
      <c r="M216" s="112"/>
    </row>
    <row r="217" spans="1:13" s="118" customFormat="1" x14ac:dyDescent="0.15">
      <c r="A217" s="666"/>
      <c r="B217" s="704" t="s">
        <v>240</v>
      </c>
      <c r="C217" s="705">
        <f>7359.38</f>
        <v>7359.38</v>
      </c>
      <c r="D217" s="705">
        <f>16677</f>
        <v>16677</v>
      </c>
      <c r="E217" s="705">
        <f t="shared" si="6"/>
        <v>-9317.619999999999</v>
      </c>
      <c r="F217" s="706">
        <f t="shared" si="7"/>
        <v>0.44128920069556876</v>
      </c>
      <c r="G217" s="117"/>
      <c r="H217" s="112"/>
      <c r="I217" s="108"/>
      <c r="J217" s="112"/>
      <c r="K217" s="112"/>
      <c r="L217" s="112"/>
      <c r="M217" s="112"/>
    </row>
    <row r="218" spans="1:13" s="118" customFormat="1" x14ac:dyDescent="0.15">
      <c r="A218" s="666"/>
      <c r="B218" s="704" t="s">
        <v>241</v>
      </c>
      <c r="C218" s="707"/>
      <c r="D218" s="705">
        <f>39310</f>
        <v>39310</v>
      </c>
      <c r="E218" s="705">
        <f t="shared" si="6"/>
        <v>-39310</v>
      </c>
      <c r="F218" s="706">
        <f t="shared" si="7"/>
        <v>0</v>
      </c>
      <c r="G218" s="117"/>
      <c r="H218" s="112"/>
      <c r="I218" s="108"/>
      <c r="J218" s="112"/>
      <c r="K218" s="112"/>
      <c r="L218" s="112"/>
      <c r="M218" s="112"/>
    </row>
    <row r="219" spans="1:13" s="118" customFormat="1" x14ac:dyDescent="0.15">
      <c r="A219" s="666"/>
      <c r="B219" s="704" t="s">
        <v>242</v>
      </c>
      <c r="C219" s="705">
        <f>5389.16</f>
        <v>5389.16</v>
      </c>
      <c r="D219" s="705">
        <f>14276</f>
        <v>14276</v>
      </c>
      <c r="E219" s="705">
        <f t="shared" si="6"/>
        <v>-8886.84</v>
      </c>
      <c r="F219" s="706">
        <f t="shared" si="7"/>
        <v>0.37749789857102828</v>
      </c>
      <c r="G219" s="117"/>
      <c r="H219" s="112"/>
      <c r="I219" s="108"/>
      <c r="J219" s="112"/>
      <c r="K219" s="112"/>
      <c r="L219" s="112"/>
      <c r="M219" s="112"/>
    </row>
    <row r="220" spans="1:13" s="118" customFormat="1" x14ac:dyDescent="0.15">
      <c r="A220" s="666"/>
      <c r="B220" s="704" t="s">
        <v>666</v>
      </c>
      <c r="C220" s="707"/>
      <c r="D220" s="705">
        <f>0</f>
        <v>0</v>
      </c>
      <c r="E220" s="705">
        <f t="shared" si="6"/>
        <v>0</v>
      </c>
      <c r="F220" s="706" t="str">
        <f t="shared" si="7"/>
        <v/>
      </c>
      <c r="G220" s="117"/>
      <c r="H220" s="112"/>
      <c r="I220" s="108"/>
      <c r="J220" s="112"/>
      <c r="K220" s="112"/>
      <c r="L220" s="112"/>
      <c r="M220" s="112"/>
    </row>
    <row r="221" spans="1:13" s="118" customFormat="1" x14ac:dyDescent="0.15">
      <c r="A221" s="666"/>
      <c r="B221" s="704" t="s">
        <v>243</v>
      </c>
      <c r="C221" s="705">
        <f>1254.64</f>
        <v>1254.6400000000001</v>
      </c>
      <c r="D221" s="705">
        <f>4326</f>
        <v>4326</v>
      </c>
      <c r="E221" s="705">
        <f t="shared" si="6"/>
        <v>-3071.3599999999997</v>
      </c>
      <c r="F221" s="706">
        <f t="shared" si="7"/>
        <v>0.29002311604253356</v>
      </c>
      <c r="G221" s="117"/>
      <c r="H221" s="112"/>
      <c r="I221" s="108"/>
      <c r="J221" s="112"/>
      <c r="K221" s="112"/>
      <c r="L221" s="112"/>
      <c r="M221" s="112"/>
    </row>
    <row r="222" spans="1:13" s="118" customFormat="1" x14ac:dyDescent="0.15">
      <c r="A222" s="666"/>
      <c r="B222" s="704" t="s">
        <v>244</v>
      </c>
      <c r="C222" s="705">
        <f>1119.27</f>
        <v>1119.27</v>
      </c>
      <c r="D222" s="705">
        <f>5500</f>
        <v>5500</v>
      </c>
      <c r="E222" s="705">
        <f t="shared" si="6"/>
        <v>-4380.7299999999996</v>
      </c>
      <c r="F222" s="706">
        <f t="shared" si="7"/>
        <v>0.20350363636363636</v>
      </c>
      <c r="G222" s="117"/>
      <c r="H222" s="112"/>
      <c r="I222" s="108"/>
      <c r="J222" s="112"/>
      <c r="K222" s="112"/>
      <c r="L222" s="112"/>
      <c r="M222" s="112"/>
    </row>
    <row r="223" spans="1:13" s="118" customFormat="1" x14ac:dyDescent="0.15">
      <c r="A223" s="666"/>
      <c r="B223" s="704" t="s">
        <v>245</v>
      </c>
      <c r="C223" s="705">
        <f>530.36</f>
        <v>530.36</v>
      </c>
      <c r="D223" s="705">
        <f>3003</f>
        <v>3003</v>
      </c>
      <c r="E223" s="705">
        <f t="shared" si="6"/>
        <v>-2472.64</v>
      </c>
      <c r="F223" s="706">
        <f t="shared" si="7"/>
        <v>0.1766100566100566</v>
      </c>
      <c r="G223" s="117"/>
      <c r="H223" s="112"/>
      <c r="I223" s="108"/>
      <c r="J223" s="112"/>
      <c r="K223" s="112"/>
      <c r="L223" s="112"/>
      <c r="M223" s="112"/>
    </row>
    <row r="224" spans="1:13" s="118" customFormat="1" x14ac:dyDescent="0.15">
      <c r="A224" s="666"/>
      <c r="B224" s="704" t="s">
        <v>246</v>
      </c>
      <c r="C224" s="705">
        <f>1124.12</f>
        <v>1124.1199999999999</v>
      </c>
      <c r="D224" s="705">
        <f>2657</f>
        <v>2657</v>
      </c>
      <c r="E224" s="705">
        <f t="shared" si="6"/>
        <v>-1532.88</v>
      </c>
      <c r="F224" s="706">
        <f t="shared" si="7"/>
        <v>0.42307866014301843</v>
      </c>
      <c r="G224" s="117"/>
      <c r="H224" s="112"/>
      <c r="I224" s="108"/>
      <c r="J224" s="112"/>
      <c r="K224" s="112"/>
      <c r="L224" s="112"/>
      <c r="M224" s="112"/>
    </row>
    <row r="225" spans="1:13" s="118" customFormat="1" x14ac:dyDescent="0.15">
      <c r="A225" s="666"/>
      <c r="B225" s="704" t="s">
        <v>247</v>
      </c>
      <c r="C225" s="707"/>
      <c r="D225" s="705">
        <f>600</f>
        <v>600</v>
      </c>
      <c r="E225" s="705">
        <f t="shared" si="6"/>
        <v>-600</v>
      </c>
      <c r="F225" s="706">
        <f t="shared" si="7"/>
        <v>0</v>
      </c>
      <c r="G225" s="117"/>
      <c r="H225" s="112"/>
      <c r="I225" s="108"/>
      <c r="J225" s="112"/>
      <c r="K225" s="112"/>
      <c r="L225" s="112"/>
      <c r="M225" s="112"/>
    </row>
    <row r="226" spans="1:13" s="118" customFormat="1" x14ac:dyDescent="0.15">
      <c r="A226" s="666"/>
      <c r="B226" s="704" t="s">
        <v>248</v>
      </c>
      <c r="C226" s="705">
        <f>4890.34</f>
        <v>4890.34</v>
      </c>
      <c r="D226" s="705">
        <f>8000</f>
        <v>8000</v>
      </c>
      <c r="E226" s="705">
        <f t="shared" si="6"/>
        <v>-3109.66</v>
      </c>
      <c r="F226" s="706">
        <f t="shared" si="7"/>
        <v>0.61129250000000002</v>
      </c>
      <c r="G226" s="117"/>
      <c r="H226" s="112"/>
      <c r="I226" s="108"/>
      <c r="J226" s="112"/>
      <c r="K226" s="112"/>
      <c r="L226" s="112"/>
      <c r="M226" s="112"/>
    </row>
    <row r="227" spans="1:13" s="118" customFormat="1" x14ac:dyDescent="0.15">
      <c r="A227" s="666"/>
      <c r="B227" s="704" t="s">
        <v>249</v>
      </c>
      <c r="C227" s="705">
        <f>785.08</f>
        <v>785.08</v>
      </c>
      <c r="D227" s="705">
        <f>1792</f>
        <v>1792</v>
      </c>
      <c r="E227" s="705">
        <f t="shared" si="6"/>
        <v>-1006.92</v>
      </c>
      <c r="F227" s="706">
        <f t="shared" si="7"/>
        <v>0.43810267857142859</v>
      </c>
      <c r="G227" s="117"/>
      <c r="H227" s="112"/>
      <c r="I227" s="108"/>
      <c r="J227" s="112"/>
      <c r="K227" s="112"/>
      <c r="L227" s="112"/>
      <c r="M227" s="112"/>
    </row>
    <row r="228" spans="1:13" s="118" customFormat="1" ht="15.6" x14ac:dyDescent="0.15">
      <c r="A228" s="666"/>
      <c r="B228" s="736" t="s">
        <v>250</v>
      </c>
      <c r="C228" s="737">
        <f>(((((((((((C216)+(C217))+(C218))+(C219))+(C220))+(C221))+(C222))+(C223))+(C224))+(C225))+(C226))+(C227)</f>
        <v>22452.350000000002</v>
      </c>
      <c r="D228" s="737">
        <f>(((((((((((D216)+(D217))+(D218))+(D219))+(D220))+(D221))+(D222))+(D223))+(D224))+(D225))+(D226))+(D227)</f>
        <v>96141</v>
      </c>
      <c r="E228" s="737">
        <f t="shared" si="6"/>
        <v>-73688.649999999994</v>
      </c>
      <c r="F228" s="738">
        <f t="shared" si="7"/>
        <v>0.23353564036155233</v>
      </c>
      <c r="G228" s="117"/>
      <c r="H228" s="112"/>
      <c r="I228" s="108"/>
      <c r="J228" s="112"/>
      <c r="K228" s="112"/>
      <c r="L228" s="112"/>
      <c r="M228" s="112"/>
    </row>
    <row r="229" spans="1:13" s="118" customFormat="1" x14ac:dyDescent="0.15">
      <c r="A229" s="666"/>
      <c r="B229" s="736" t="s">
        <v>251</v>
      </c>
      <c r="C229" s="737">
        <f>((C207)+(C213))+(C228)</f>
        <v>-2404.7299999999959</v>
      </c>
      <c r="D229" s="737">
        <f>((D207)+(D213))+(D228)</f>
        <v>40173</v>
      </c>
      <c r="E229" s="737">
        <f t="shared" si="6"/>
        <v>-42577.729999999996</v>
      </c>
      <c r="F229" s="748">
        <f t="shared" si="7"/>
        <v>-5.9859358275458539E-2</v>
      </c>
      <c r="G229" s="117"/>
      <c r="H229" s="112"/>
      <c r="I229" s="108"/>
      <c r="J229" s="112"/>
      <c r="K229" s="112"/>
      <c r="L229" s="112"/>
      <c r="M229" s="112"/>
    </row>
    <row r="230" spans="1:13" s="118" customFormat="1" x14ac:dyDescent="0.15">
      <c r="A230" s="666"/>
      <c r="B230" s="740"/>
      <c r="C230" s="741"/>
      <c r="D230" s="741"/>
      <c r="E230" s="741"/>
      <c r="F230" s="749"/>
      <c r="G230" s="117"/>
      <c r="H230" s="112"/>
      <c r="I230" s="108"/>
      <c r="J230" s="112"/>
      <c r="K230" s="112"/>
      <c r="L230" s="112"/>
      <c r="M230" s="112"/>
    </row>
    <row r="231" spans="1:13" s="118" customFormat="1" x14ac:dyDescent="0.15">
      <c r="A231" s="666"/>
      <c r="B231" s="740"/>
      <c r="C231" s="741"/>
      <c r="D231" s="741"/>
      <c r="E231" s="741"/>
      <c r="F231" s="749"/>
      <c r="G231" s="117"/>
      <c r="H231" s="112"/>
      <c r="I231" s="108"/>
      <c r="J231" s="112"/>
      <c r="K231" s="112"/>
      <c r="L231" s="112"/>
      <c r="M231" s="112"/>
    </row>
    <row r="232" spans="1:13" s="118" customFormat="1" x14ac:dyDescent="0.15">
      <c r="A232" s="666"/>
      <c r="B232" s="739" t="s">
        <v>649</v>
      </c>
      <c r="C232" s="734"/>
      <c r="D232" s="734"/>
      <c r="E232" s="743">
        <f t="shared" si="6"/>
        <v>0</v>
      </c>
      <c r="F232" s="744" t="str">
        <f t="shared" si="7"/>
        <v/>
      </c>
      <c r="G232" s="117"/>
      <c r="H232" s="112"/>
      <c r="I232" s="108"/>
      <c r="J232" s="112"/>
      <c r="K232" s="112"/>
      <c r="L232" s="112"/>
      <c r="M232" s="112"/>
    </row>
    <row r="233" spans="1:13" s="118" customFormat="1" x14ac:dyDescent="0.15">
      <c r="A233" s="666"/>
      <c r="B233" s="704" t="s">
        <v>650</v>
      </c>
      <c r="C233" s="705">
        <f>-12746</f>
        <v>-12746</v>
      </c>
      <c r="D233" s="705">
        <f>-37350</f>
        <v>-37350</v>
      </c>
      <c r="E233" s="705">
        <f t="shared" si="6"/>
        <v>24604</v>
      </c>
      <c r="F233" s="706">
        <f t="shared" si="7"/>
        <v>0.34125836680053545</v>
      </c>
      <c r="G233" s="117"/>
      <c r="H233" s="112"/>
      <c r="I233" s="108"/>
      <c r="J233" s="112"/>
      <c r="K233" s="112"/>
      <c r="L233" s="112"/>
      <c r="M233" s="112"/>
    </row>
    <row r="234" spans="1:13" s="118" customFormat="1" x14ac:dyDescent="0.15">
      <c r="A234" s="666"/>
      <c r="B234" s="704" t="s">
        <v>651</v>
      </c>
      <c r="C234" s="707"/>
      <c r="D234" s="705">
        <f>0</f>
        <v>0</v>
      </c>
      <c r="E234" s="705">
        <f t="shared" si="6"/>
        <v>0</v>
      </c>
      <c r="F234" s="706" t="str">
        <f t="shared" si="7"/>
        <v/>
      </c>
      <c r="G234" s="117"/>
      <c r="H234" s="112"/>
      <c r="I234" s="108"/>
      <c r="J234" s="112"/>
      <c r="K234" s="112"/>
      <c r="L234" s="112"/>
      <c r="M234" s="112"/>
    </row>
    <row r="235" spans="1:13" s="118" customFormat="1" x14ac:dyDescent="0.15">
      <c r="A235" s="666"/>
      <c r="B235" s="704" t="s">
        <v>652</v>
      </c>
      <c r="C235" s="705">
        <f>11289.56</f>
        <v>11289.56</v>
      </c>
      <c r="D235" s="705">
        <f>25350</f>
        <v>25350</v>
      </c>
      <c r="E235" s="705">
        <f t="shared" si="6"/>
        <v>-14060.44</v>
      </c>
      <c r="F235" s="706">
        <f t="shared" si="7"/>
        <v>0.44534753451676529</v>
      </c>
      <c r="G235" s="117"/>
      <c r="H235" s="112"/>
      <c r="I235" s="108"/>
      <c r="J235" s="112"/>
      <c r="K235" s="112"/>
      <c r="L235" s="112"/>
      <c r="M235" s="112"/>
    </row>
    <row r="236" spans="1:13" s="118" customFormat="1" x14ac:dyDescent="0.15">
      <c r="A236" s="666"/>
      <c r="B236" s="736" t="s">
        <v>653</v>
      </c>
      <c r="C236" s="737">
        <f>(((C232)+(C233))+(C234))+(C235)</f>
        <v>-1456.4400000000005</v>
      </c>
      <c r="D236" s="737">
        <f>(((D232)+(D233))+(D234))+(D235)</f>
        <v>-12000</v>
      </c>
      <c r="E236" s="737">
        <f t="shared" si="6"/>
        <v>10543.56</v>
      </c>
      <c r="F236" s="738">
        <f t="shared" si="7"/>
        <v>0.12137000000000005</v>
      </c>
      <c r="G236" s="117"/>
      <c r="H236" s="112"/>
      <c r="I236" s="108"/>
      <c r="J236" s="112"/>
      <c r="K236" s="112"/>
      <c r="L236" s="112"/>
      <c r="M236" s="112"/>
    </row>
    <row r="237" spans="1:13" s="118" customFormat="1" x14ac:dyDescent="0.15">
      <c r="A237" s="666"/>
      <c r="B237" s="740"/>
      <c r="C237" s="741"/>
      <c r="D237" s="741"/>
      <c r="E237" s="741"/>
      <c r="F237" s="742"/>
      <c r="G237" s="117"/>
      <c r="H237" s="112"/>
      <c r="I237" s="108"/>
      <c r="J237" s="112"/>
      <c r="K237" s="112"/>
      <c r="L237" s="112"/>
      <c r="M237" s="112"/>
    </row>
    <row r="238" spans="1:13" s="118" customFormat="1" x14ac:dyDescent="0.15">
      <c r="A238" s="666"/>
      <c r="B238" s="740"/>
      <c r="C238" s="741"/>
      <c r="D238" s="741"/>
      <c r="E238" s="741"/>
      <c r="F238" s="742"/>
      <c r="G238" s="117"/>
      <c r="H238" s="112"/>
      <c r="I238" s="108"/>
      <c r="J238" s="112"/>
      <c r="K238" s="112"/>
      <c r="L238" s="112"/>
      <c r="M238" s="112"/>
    </row>
    <row r="239" spans="1:13" s="118" customFormat="1" x14ac:dyDescent="0.15">
      <c r="A239" s="666"/>
      <c r="B239" s="739" t="s">
        <v>252</v>
      </c>
      <c r="C239" s="734"/>
      <c r="D239" s="734"/>
      <c r="E239" s="743">
        <f t="shared" si="6"/>
        <v>0</v>
      </c>
      <c r="F239" s="744" t="str">
        <f t="shared" si="7"/>
        <v/>
      </c>
      <c r="G239" s="117"/>
      <c r="H239" s="112"/>
      <c r="I239" s="108"/>
      <c r="J239" s="112"/>
      <c r="K239" s="112"/>
      <c r="L239" s="112"/>
      <c r="M239" s="112"/>
    </row>
    <row r="240" spans="1:13" s="118" customFormat="1" x14ac:dyDescent="0.15">
      <c r="A240" s="666"/>
      <c r="B240" s="704" t="s">
        <v>654</v>
      </c>
      <c r="C240" s="705">
        <f>-2459</f>
        <v>-2459</v>
      </c>
      <c r="D240" s="705">
        <f>-13730</f>
        <v>-13730</v>
      </c>
      <c r="E240" s="705">
        <f t="shared" si="6"/>
        <v>11271</v>
      </c>
      <c r="F240" s="706">
        <f t="shared" si="7"/>
        <v>0.17909686817188639</v>
      </c>
      <c r="G240" s="117"/>
      <c r="H240" s="112"/>
      <c r="I240" s="108"/>
      <c r="J240" s="112"/>
      <c r="K240" s="112"/>
      <c r="L240" s="112"/>
      <c r="M240" s="112"/>
    </row>
    <row r="241" spans="1:13" s="118" customFormat="1" x14ac:dyDescent="0.15">
      <c r="A241" s="666"/>
      <c r="B241" s="704" t="s">
        <v>655</v>
      </c>
      <c r="C241" s="707"/>
      <c r="D241" s="705">
        <f>0</f>
        <v>0</v>
      </c>
      <c r="E241" s="705">
        <f t="shared" si="6"/>
        <v>0</v>
      </c>
      <c r="F241" s="706" t="str">
        <f t="shared" si="7"/>
        <v/>
      </c>
      <c r="G241" s="117"/>
      <c r="H241" s="112"/>
      <c r="I241" s="108"/>
      <c r="J241" s="112"/>
      <c r="K241" s="112"/>
      <c r="L241" s="112"/>
      <c r="M241" s="112"/>
    </row>
    <row r="242" spans="1:13" s="118" customFormat="1" x14ac:dyDescent="0.15">
      <c r="A242" s="666"/>
      <c r="B242" s="704" t="s">
        <v>253</v>
      </c>
      <c r="C242" s="705">
        <f>1054.82</f>
        <v>1054.82</v>
      </c>
      <c r="D242" s="705">
        <f>12320</f>
        <v>12320</v>
      </c>
      <c r="E242" s="705">
        <f t="shared" si="6"/>
        <v>-11265.18</v>
      </c>
      <c r="F242" s="706">
        <f t="shared" si="7"/>
        <v>8.5618506493506483E-2</v>
      </c>
      <c r="G242" s="117"/>
      <c r="H242" s="112"/>
      <c r="I242" s="108"/>
      <c r="J242" s="112"/>
      <c r="K242" s="112"/>
      <c r="L242" s="112"/>
      <c r="M242" s="112"/>
    </row>
    <row r="243" spans="1:13" s="118" customFormat="1" x14ac:dyDescent="0.15">
      <c r="A243" s="666"/>
      <c r="B243" s="736" t="s">
        <v>254</v>
      </c>
      <c r="C243" s="737">
        <f>(((C239)+(C240))+(C241))+(C242)</f>
        <v>-1404.18</v>
      </c>
      <c r="D243" s="737">
        <f>(((D239)+(D240))+(D241))+(D242)</f>
        <v>-1410</v>
      </c>
      <c r="E243" s="737">
        <f t="shared" si="6"/>
        <v>5.8199999999999363</v>
      </c>
      <c r="F243" s="738">
        <f t="shared" si="7"/>
        <v>0.99587234042553197</v>
      </c>
      <c r="G243" s="117"/>
      <c r="H243" s="112"/>
      <c r="I243" s="108"/>
      <c r="J243" s="112"/>
      <c r="K243" s="112"/>
      <c r="L243" s="112"/>
      <c r="M243" s="112"/>
    </row>
    <row r="244" spans="1:13" s="118" customFormat="1" x14ac:dyDescent="0.15">
      <c r="A244" s="666"/>
      <c r="B244" s="704"/>
      <c r="C244" s="705"/>
      <c r="D244" s="705"/>
      <c r="E244" s="705"/>
      <c r="F244" s="706"/>
      <c r="G244" s="117"/>
      <c r="H244" s="112"/>
      <c r="I244" s="108"/>
      <c r="J244" s="112"/>
      <c r="K244" s="112"/>
      <c r="L244" s="112"/>
      <c r="M244" s="112"/>
    </row>
    <row r="245" spans="1:13" s="118" customFormat="1" x14ac:dyDescent="0.15">
      <c r="A245" s="666"/>
      <c r="B245" s="704"/>
      <c r="C245" s="705"/>
      <c r="D245" s="705"/>
      <c r="E245" s="705"/>
      <c r="F245" s="706"/>
      <c r="G245" s="117"/>
      <c r="H245" s="112"/>
      <c r="I245" s="108"/>
      <c r="J245" s="112"/>
      <c r="K245" s="112"/>
      <c r="L245" s="112"/>
      <c r="M245" s="112"/>
    </row>
    <row r="246" spans="1:13" s="118" customFormat="1" x14ac:dyDescent="0.15">
      <c r="A246" s="666"/>
      <c r="B246" s="736" t="s">
        <v>255</v>
      </c>
      <c r="C246" s="737">
        <f>(((((((((((((((((((((((((((((((((((((((((((((((C61)+(C62))+(C63))+(C64))+(C65))+(C66))+(C67))+(C76))+(C80))+(C81))+(C82))+(C83))+(C84))+(C91))+(C92))+(C93))+(C94))+(C95))+(C96))+(C97))+(C98))+(C99))+(C100))+(C101))+(C102))+(C103))+(C109))+(C110))+(C111))+(C112))+(C113))+(C114))+(C115))+(C116))+(C117))+(C118))+(C119))+(C120))+(C121))+(C127))+(C130))+(C131))+(C132))+(C136))+(C204))+(C229))+(C236))+(C243)</f>
        <v>374779.16000000003</v>
      </c>
      <c r="D246" s="737">
        <f>(((((((((((((((((((((((((((((((((((((((((((((((D61)+(D62))+(D63))+(D64))+(D65))+(D66))+(D67))+(D76))+(D80))+(D81))+(D82))+(D83))+(D84))+(D91))+(D92))+(D93))+(D94))+(D95))+(D96))+(D97))+(D98))+(D99))+(D100))+(D101))+(D102))+(D103))+(D109))+(D110))+(D111))+(D112))+(D113))+(D114))+(D115))+(D116))+(D117))+(D118))+(D119))+(D120))+(D121))+(D127))+(D130))+(D131))+(D132))+(D136))+(D204))+(D229))+(D236))+(D243)</f>
        <v>977115</v>
      </c>
      <c r="E246" s="737">
        <f t="shared" si="6"/>
        <v>-602335.84</v>
      </c>
      <c r="F246" s="738">
        <f t="shared" si="7"/>
        <v>0.38355685871161532</v>
      </c>
      <c r="G246" s="117"/>
      <c r="H246" s="112"/>
      <c r="I246" s="108"/>
      <c r="J246" s="112"/>
      <c r="K246" s="112"/>
      <c r="L246" s="112"/>
      <c r="M246" s="112"/>
    </row>
    <row r="247" spans="1:13" s="118" customFormat="1" x14ac:dyDescent="0.15">
      <c r="A247" s="666"/>
      <c r="B247" s="736" t="s">
        <v>256</v>
      </c>
      <c r="C247" s="737">
        <f>(C57)-(C246)</f>
        <v>482705.89999999991</v>
      </c>
      <c r="D247" s="737">
        <f>(D57)-(D246)</f>
        <v>380250</v>
      </c>
      <c r="E247" s="737">
        <f t="shared" si="6"/>
        <v>102455.89999999991</v>
      </c>
      <c r="F247" s="738">
        <f t="shared" si="7"/>
        <v>1.2694435239973698</v>
      </c>
      <c r="G247" s="117"/>
      <c r="H247" s="112"/>
      <c r="I247" s="108"/>
      <c r="J247" s="112"/>
      <c r="K247" s="112"/>
      <c r="L247" s="112"/>
      <c r="M247" s="112"/>
    </row>
    <row r="248" spans="1:13" s="118" customFormat="1" x14ac:dyDescent="0.15">
      <c r="A248" s="666"/>
      <c r="B248" s="740"/>
      <c r="C248" s="741"/>
      <c r="D248" s="741"/>
      <c r="E248" s="741"/>
      <c r="F248" s="742"/>
      <c r="G248" s="117"/>
      <c r="H248" s="112"/>
      <c r="I248" s="108"/>
      <c r="J248" s="112"/>
      <c r="K248" s="112"/>
      <c r="L248" s="112"/>
      <c r="M248" s="112"/>
    </row>
    <row r="249" spans="1:13" s="118" customFormat="1" x14ac:dyDescent="0.15">
      <c r="A249" s="666"/>
      <c r="B249" s="740"/>
      <c r="C249" s="741"/>
      <c r="D249" s="741"/>
      <c r="E249" s="741"/>
      <c r="F249" s="742"/>
      <c r="G249" s="117"/>
      <c r="H249" s="112"/>
      <c r="I249" s="108"/>
      <c r="J249" s="112"/>
      <c r="K249" s="112"/>
      <c r="L249" s="112"/>
      <c r="M249" s="112"/>
    </row>
    <row r="250" spans="1:13" s="118" customFormat="1" x14ac:dyDescent="0.15">
      <c r="A250" s="666"/>
      <c r="B250" s="739" t="s">
        <v>257</v>
      </c>
      <c r="C250" s="734"/>
      <c r="D250" s="734"/>
      <c r="E250" s="734"/>
      <c r="F250" s="735"/>
      <c r="G250" s="117"/>
      <c r="H250" s="112"/>
      <c r="I250" s="108"/>
      <c r="J250" s="112"/>
      <c r="K250" s="112"/>
      <c r="L250" s="112"/>
      <c r="M250" s="112"/>
    </row>
    <row r="251" spans="1:13" s="118" customFormat="1" x14ac:dyDescent="0.15">
      <c r="A251" s="666"/>
      <c r="B251" s="704" t="s">
        <v>258</v>
      </c>
      <c r="C251" s="707"/>
      <c r="D251" s="705">
        <f>0</f>
        <v>0</v>
      </c>
      <c r="E251" s="705">
        <f t="shared" ref="E251:E269" si="8">(C251)-(D251)</f>
        <v>0</v>
      </c>
      <c r="F251" s="706" t="str">
        <f t="shared" ref="F251:F269" si="9">IF(D251=0,"",(C251)/(D251))</f>
        <v/>
      </c>
      <c r="G251" s="117"/>
      <c r="H251" s="112"/>
      <c r="I251" s="108"/>
      <c r="J251" s="112"/>
      <c r="K251" s="112"/>
      <c r="L251" s="112"/>
      <c r="M251" s="112"/>
    </row>
    <row r="252" spans="1:13" s="118" customFormat="1" x14ac:dyDescent="0.15">
      <c r="A252" s="666"/>
      <c r="B252" s="704" t="s">
        <v>259</v>
      </c>
      <c r="C252" s="707"/>
      <c r="D252" s="705">
        <f>0</f>
        <v>0</v>
      </c>
      <c r="E252" s="705">
        <f t="shared" si="8"/>
        <v>0</v>
      </c>
      <c r="F252" s="706" t="str">
        <f t="shared" si="9"/>
        <v/>
      </c>
      <c r="G252" s="117"/>
      <c r="H252" s="112"/>
      <c r="I252" s="108"/>
      <c r="J252" s="112"/>
      <c r="K252" s="112"/>
      <c r="L252" s="112"/>
      <c r="M252" s="112"/>
    </row>
    <row r="253" spans="1:13" s="118" customFormat="1" x14ac:dyDescent="0.15">
      <c r="A253" s="666"/>
      <c r="B253" s="704" t="s">
        <v>260</v>
      </c>
      <c r="C253" s="707"/>
      <c r="D253" s="705">
        <f>0</f>
        <v>0</v>
      </c>
      <c r="E253" s="705">
        <f t="shared" si="8"/>
        <v>0</v>
      </c>
      <c r="F253" s="706" t="str">
        <f t="shared" si="9"/>
        <v/>
      </c>
      <c r="G253" s="117"/>
      <c r="H253" s="112"/>
      <c r="I253" s="108"/>
      <c r="J253" s="112"/>
      <c r="K253" s="112"/>
      <c r="L253" s="112"/>
      <c r="M253" s="112"/>
    </row>
    <row r="254" spans="1:13" s="118" customFormat="1" x14ac:dyDescent="0.15">
      <c r="A254" s="666"/>
      <c r="B254" s="704" t="s">
        <v>261</v>
      </c>
      <c r="C254" s="707"/>
      <c r="D254" s="705">
        <f>0</f>
        <v>0</v>
      </c>
      <c r="E254" s="705">
        <f t="shared" si="8"/>
        <v>0</v>
      </c>
      <c r="F254" s="706"/>
      <c r="G254" s="117"/>
      <c r="H254" s="112"/>
      <c r="I254" s="108"/>
      <c r="J254" s="112"/>
      <c r="K254" s="112"/>
      <c r="L254" s="112"/>
      <c r="M254" s="112"/>
    </row>
    <row r="255" spans="1:13" s="118" customFormat="1" x14ac:dyDescent="0.15">
      <c r="A255" s="666"/>
      <c r="B255" s="704" t="s">
        <v>262</v>
      </c>
      <c r="C255" s="705">
        <f>85610.7</f>
        <v>85610.7</v>
      </c>
      <c r="D255" s="705">
        <f>0</f>
        <v>0</v>
      </c>
      <c r="E255" s="705">
        <f t="shared" si="8"/>
        <v>85610.7</v>
      </c>
      <c r="F255" s="706"/>
      <c r="G255" s="117"/>
      <c r="H255" s="112"/>
      <c r="I255" s="108"/>
      <c r="J255" s="112"/>
      <c r="K255" s="112"/>
      <c r="L255" s="112"/>
      <c r="M255" s="112"/>
    </row>
    <row r="256" spans="1:13" s="118" customFormat="1" x14ac:dyDescent="0.15">
      <c r="A256" s="666"/>
      <c r="B256" s="704" t="s">
        <v>263</v>
      </c>
      <c r="C256" s="707"/>
      <c r="D256" s="705">
        <f>0</f>
        <v>0</v>
      </c>
      <c r="E256" s="705">
        <f t="shared" si="8"/>
        <v>0</v>
      </c>
      <c r="F256" s="706"/>
      <c r="G256" s="117"/>
      <c r="H256" s="112"/>
      <c r="I256" s="108"/>
      <c r="J256" s="112"/>
      <c r="K256" s="112"/>
      <c r="L256" s="112"/>
      <c r="M256" s="112"/>
    </row>
    <row r="257" spans="1:13" s="118" customFormat="1" x14ac:dyDescent="0.15">
      <c r="A257" s="666"/>
      <c r="B257" s="704" t="s">
        <v>264</v>
      </c>
      <c r="C257" s="707"/>
      <c r="D257" s="705">
        <f>572629</f>
        <v>572629</v>
      </c>
      <c r="E257" s="705">
        <f t="shared" si="8"/>
        <v>-572629</v>
      </c>
      <c r="F257" s="706"/>
      <c r="G257" s="117"/>
      <c r="H257" s="112"/>
      <c r="I257" s="108"/>
      <c r="J257" s="112"/>
      <c r="K257" s="112"/>
      <c r="L257" s="112"/>
      <c r="M257" s="112"/>
    </row>
    <row r="258" spans="1:13" s="118" customFormat="1" x14ac:dyDescent="0.15">
      <c r="A258" s="666"/>
      <c r="B258" s="704" t="s">
        <v>265</v>
      </c>
      <c r="C258" s="705">
        <f>464.15</f>
        <v>464.15</v>
      </c>
      <c r="D258" s="705">
        <f>0</f>
        <v>0</v>
      </c>
      <c r="E258" s="705">
        <f t="shared" si="8"/>
        <v>464.15</v>
      </c>
      <c r="F258" s="706"/>
      <c r="G258" s="117"/>
      <c r="H258" s="112"/>
      <c r="I258" s="108"/>
      <c r="J258" s="112"/>
      <c r="K258" s="112"/>
      <c r="L258" s="112"/>
      <c r="M258" s="112"/>
    </row>
    <row r="259" spans="1:13" s="118" customFormat="1" x14ac:dyDescent="0.15">
      <c r="A259" s="666"/>
      <c r="B259" s="704" t="s">
        <v>266</v>
      </c>
      <c r="C259" s="707"/>
      <c r="D259" s="705">
        <f>0</f>
        <v>0</v>
      </c>
      <c r="E259" s="705">
        <f t="shared" si="8"/>
        <v>0</v>
      </c>
      <c r="F259" s="706"/>
      <c r="G259" s="117"/>
      <c r="H259" s="112"/>
      <c r="I259" s="108"/>
      <c r="J259" s="112"/>
      <c r="K259" s="112"/>
      <c r="L259" s="112"/>
      <c r="M259" s="112"/>
    </row>
    <row r="260" spans="1:13" s="118" customFormat="1" x14ac:dyDescent="0.15">
      <c r="A260" s="666"/>
      <c r="B260" s="704" t="s">
        <v>267</v>
      </c>
      <c r="C260" s="705">
        <f>205087</f>
        <v>205087</v>
      </c>
      <c r="D260" s="705">
        <f>0</f>
        <v>0</v>
      </c>
      <c r="E260" s="705">
        <f t="shared" si="8"/>
        <v>205087</v>
      </c>
      <c r="F260" s="706" t="str">
        <f t="shared" si="9"/>
        <v/>
      </c>
      <c r="G260" s="117"/>
      <c r="H260" s="112"/>
      <c r="I260" s="108"/>
      <c r="J260" s="112"/>
      <c r="K260" s="112"/>
      <c r="L260" s="112"/>
      <c r="M260" s="112"/>
    </row>
    <row r="261" spans="1:13" s="118" customFormat="1" x14ac:dyDescent="0.15">
      <c r="A261" s="666"/>
      <c r="B261" s="704" t="s">
        <v>268</v>
      </c>
      <c r="C261" s="707"/>
      <c r="D261" s="705">
        <f>0</f>
        <v>0</v>
      </c>
      <c r="E261" s="705">
        <f t="shared" si="8"/>
        <v>0</v>
      </c>
      <c r="F261" s="706" t="str">
        <f t="shared" si="9"/>
        <v/>
      </c>
      <c r="G261" s="117"/>
      <c r="H261" s="112"/>
      <c r="I261" s="108"/>
      <c r="J261" s="112"/>
      <c r="K261" s="112"/>
      <c r="L261" s="112"/>
      <c r="M261" s="112"/>
    </row>
    <row r="262" spans="1:13" s="118" customFormat="1" x14ac:dyDescent="0.15">
      <c r="A262" s="666"/>
      <c r="B262" s="704" t="s">
        <v>269</v>
      </c>
      <c r="C262" s="707"/>
      <c r="D262" s="705">
        <f>0</f>
        <v>0</v>
      </c>
      <c r="E262" s="705">
        <f t="shared" si="8"/>
        <v>0</v>
      </c>
      <c r="F262" s="706" t="str">
        <f t="shared" si="9"/>
        <v/>
      </c>
      <c r="G262" s="117"/>
      <c r="H262" s="112"/>
      <c r="I262" s="108"/>
      <c r="J262" s="112"/>
      <c r="K262" s="112"/>
      <c r="L262" s="112"/>
      <c r="M262" s="112"/>
    </row>
    <row r="263" spans="1:13" s="118" customFormat="1" x14ac:dyDescent="0.15">
      <c r="A263" s="666"/>
      <c r="B263" s="704" t="s">
        <v>270</v>
      </c>
      <c r="C263" s="707"/>
      <c r="D263" s="705">
        <f>0</f>
        <v>0</v>
      </c>
      <c r="E263" s="705">
        <f t="shared" si="8"/>
        <v>0</v>
      </c>
      <c r="F263" s="706" t="str">
        <f t="shared" si="9"/>
        <v/>
      </c>
      <c r="G263" s="117"/>
      <c r="H263" s="112"/>
      <c r="I263" s="108"/>
      <c r="J263" s="112"/>
      <c r="K263" s="112"/>
      <c r="L263" s="112"/>
      <c r="M263" s="112"/>
    </row>
    <row r="264" spans="1:13" s="118" customFormat="1" x14ac:dyDescent="0.15">
      <c r="A264" s="666"/>
      <c r="B264" s="704" t="s">
        <v>271</v>
      </c>
      <c r="C264" s="705">
        <f>(C262)+(C263)</f>
        <v>0</v>
      </c>
      <c r="D264" s="705">
        <f>(D262)+(D263)</f>
        <v>0</v>
      </c>
      <c r="E264" s="705">
        <f t="shared" si="8"/>
        <v>0</v>
      </c>
      <c r="F264" s="706" t="str">
        <f t="shared" si="9"/>
        <v/>
      </c>
      <c r="G264" s="117"/>
      <c r="H264" s="112"/>
      <c r="I264" s="108"/>
      <c r="J264" s="112"/>
      <c r="K264" s="112"/>
      <c r="L264" s="112"/>
      <c r="M264" s="112"/>
    </row>
    <row r="265" spans="1:13" s="118" customFormat="1" x14ac:dyDescent="0.15">
      <c r="A265" s="666"/>
      <c r="B265" s="736" t="s">
        <v>272</v>
      </c>
      <c r="C265" s="737">
        <f>(((((((((((C251)+(C252))+(C253))+(C254))+(C255))+(C256))+(C257))+(C258))+(C259))+(C260))+(C261))+(C264)</f>
        <v>291161.84999999998</v>
      </c>
      <c r="D265" s="737">
        <f>(((((((((((D251)+(D252))+(D253))+(D254))+(D255))+(D256))+(D257))+(D258))+(D259))+(D260))+(D261))+(D264)</f>
        <v>572629</v>
      </c>
      <c r="E265" s="737">
        <f t="shared" si="8"/>
        <v>-281467.15000000002</v>
      </c>
      <c r="F265" s="738">
        <f t="shared" si="9"/>
        <v>0.50846507948427333</v>
      </c>
      <c r="G265" s="117"/>
      <c r="H265" s="112"/>
      <c r="I265" s="108"/>
      <c r="J265" s="112"/>
      <c r="K265" s="112"/>
      <c r="L265" s="112"/>
      <c r="M265" s="112"/>
    </row>
    <row r="266" spans="1:13" s="118" customFormat="1" x14ac:dyDescent="0.15">
      <c r="A266" s="666"/>
      <c r="B266" s="736" t="s">
        <v>273</v>
      </c>
      <c r="C266" s="737">
        <f>(0)-(C265)</f>
        <v>-291161.84999999998</v>
      </c>
      <c r="D266" s="737">
        <f>(0)-(D265)</f>
        <v>-572629</v>
      </c>
      <c r="E266" s="737">
        <f t="shared" si="8"/>
        <v>281467.15000000002</v>
      </c>
      <c r="F266" s="738">
        <f t="shared" si="9"/>
        <v>0.50846507948427333</v>
      </c>
      <c r="G266" s="117"/>
      <c r="H266" s="112"/>
      <c r="I266" s="108"/>
      <c r="J266" s="112"/>
      <c r="K266" s="112"/>
      <c r="L266" s="112"/>
      <c r="M266" s="112"/>
    </row>
    <row r="267" spans="1:13" s="118" customFormat="1" x14ac:dyDescent="0.15">
      <c r="A267" s="666"/>
      <c r="B267" s="704"/>
      <c r="C267" s="705"/>
      <c r="D267" s="705"/>
      <c r="E267" s="705"/>
      <c r="F267" s="706"/>
      <c r="G267" s="117"/>
      <c r="H267" s="112"/>
      <c r="I267" s="108"/>
      <c r="J267" s="112"/>
      <c r="K267" s="112"/>
      <c r="L267" s="112"/>
      <c r="M267" s="112"/>
    </row>
    <row r="268" spans="1:13" s="118" customFormat="1" x14ac:dyDescent="0.15">
      <c r="A268" s="666"/>
      <c r="B268" s="704"/>
      <c r="C268" s="705"/>
      <c r="D268" s="705"/>
      <c r="E268" s="705"/>
      <c r="F268" s="706"/>
      <c r="G268" s="117"/>
      <c r="H268" s="112"/>
      <c r="I268" s="108"/>
      <c r="J268" s="112"/>
      <c r="K268" s="112"/>
      <c r="L268" s="112"/>
      <c r="M268" s="112"/>
    </row>
    <row r="269" spans="1:13" s="713" customFormat="1" x14ac:dyDescent="0.15">
      <c r="A269" s="666"/>
      <c r="B269" s="750" t="s">
        <v>274</v>
      </c>
      <c r="C269" s="751">
        <f>(C247)+(C266)</f>
        <v>191544.04999999993</v>
      </c>
      <c r="D269" s="751">
        <f>(D247)+(D266)</f>
        <v>-192379</v>
      </c>
      <c r="E269" s="751">
        <f t="shared" si="8"/>
        <v>383923.04999999993</v>
      </c>
      <c r="F269" s="752">
        <f t="shared" si="9"/>
        <v>-0.99565986932045558</v>
      </c>
      <c r="G269" s="710"/>
      <c r="H269" s="711"/>
      <c r="I269" s="712"/>
      <c r="J269" s="711"/>
      <c r="K269" s="711"/>
      <c r="L269" s="711"/>
      <c r="M269" s="711"/>
    </row>
    <row r="270" spans="1:13" s="118" customFormat="1" x14ac:dyDescent="0.15">
      <c r="A270" s="666"/>
      <c r="B270" s="113"/>
      <c r="C270" s="114"/>
      <c r="D270" s="115"/>
      <c r="E270" s="114"/>
      <c r="F270" s="116"/>
      <c r="G270" s="117"/>
      <c r="H270" s="112"/>
      <c r="I270" s="108"/>
      <c r="J270" s="112"/>
      <c r="K270" s="112"/>
      <c r="L270" s="112"/>
      <c r="M270" s="112"/>
    </row>
    <row r="272" spans="1:13" s="127" customFormat="1" ht="10.199999999999999" x14ac:dyDescent="0.2">
      <c r="A272" s="667"/>
      <c r="B272" s="122" t="s">
        <v>275</v>
      </c>
      <c r="C272" s="123"/>
      <c r="D272" s="124"/>
      <c r="E272" s="123"/>
      <c r="F272" s="125"/>
      <c r="G272" s="126"/>
    </row>
    <row r="273" spans="1:7" s="131" customFormat="1" x14ac:dyDescent="0.15">
      <c r="A273" s="667"/>
      <c r="B273" s="128" t="s">
        <v>276</v>
      </c>
      <c r="C273" s="124"/>
      <c r="D273" s="124"/>
      <c r="E273" s="124"/>
      <c r="F273" s="129"/>
      <c r="G273" s="130"/>
    </row>
    <row r="274" spans="1:7" s="131" customFormat="1" x14ac:dyDescent="0.15">
      <c r="A274" s="667"/>
      <c r="B274" s="128" t="s">
        <v>277</v>
      </c>
      <c r="C274" s="124"/>
      <c r="D274" s="124"/>
      <c r="E274" s="124"/>
      <c r="F274" s="129"/>
      <c r="G274" s="130"/>
    </row>
    <row r="275" spans="1:7" s="127" customFormat="1" x14ac:dyDescent="0.15">
      <c r="A275" s="667"/>
      <c r="B275" s="132"/>
      <c r="C275" s="123"/>
      <c r="D275" s="124"/>
      <c r="E275" s="123"/>
      <c r="F275" s="125"/>
      <c r="G275" s="126"/>
    </row>
  </sheetData>
  <mergeCells count="1">
    <mergeCell ref="C6:F6"/>
  </mergeCells>
  <pageMargins left="0.5" right="0.35" top="0.4" bottom="0.5" header="0.3" footer="0.3"/>
  <pageSetup orientation="portrait" r:id="rId1"/>
  <rowBreaks count="2" manualBreakCount="2">
    <brk id="79" max="6" man="1"/>
    <brk id="138" max="6" man="1"/>
  </rowBreaks>
  <ignoredErrors>
    <ignoredError sqref="D25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AB64-4C79-4F53-96E0-4215BD1078A2}">
  <sheetPr codeName="Sheet4">
    <tabColor rgb="FF7030A0"/>
  </sheetPr>
  <dimension ref="A1:P111"/>
  <sheetViews>
    <sheetView zoomScale="130" zoomScaleNormal="130" zoomScaleSheetLayoutView="115" workbookViewId="0">
      <selection activeCell="D18" sqref="D18"/>
    </sheetView>
  </sheetViews>
  <sheetFormatPr defaultColWidth="14.140625" defaultRowHeight="7.8" x14ac:dyDescent="0.15"/>
  <cols>
    <col min="1" max="1" width="3.140625" style="156" customWidth="1"/>
    <col min="2" max="2" width="3.7109375" style="186" customWidth="1"/>
    <col min="3" max="3" width="4.140625" style="186" customWidth="1"/>
    <col min="4" max="4" width="5" style="186" customWidth="1"/>
    <col min="5" max="5" width="10.7109375" style="186" customWidth="1"/>
    <col min="6" max="6" width="32.140625" style="186" customWidth="1"/>
    <col min="7" max="7" width="3.140625" style="187" customWidth="1"/>
    <col min="8" max="8" width="15.140625" style="154" customWidth="1"/>
    <col min="9" max="9" width="16.7109375" style="154" customWidth="1"/>
    <col min="10" max="10" width="15" style="154" customWidth="1"/>
    <col min="11" max="11" width="4" style="155" customWidth="1"/>
    <col min="12" max="12" width="10.7109375" style="160" customWidth="1"/>
    <col min="13" max="13" width="6.28515625" style="154" customWidth="1"/>
    <col min="14" max="14" width="4.140625" style="156" customWidth="1"/>
    <col min="15" max="16384" width="14.140625" style="156"/>
  </cols>
  <sheetData>
    <row r="1" spans="2:16" s="143" customFormat="1" x14ac:dyDescent="0.15">
      <c r="B1" s="135"/>
      <c r="C1" s="136"/>
      <c r="D1" s="137"/>
      <c r="E1" s="136"/>
      <c r="F1" s="136" t="s">
        <v>0</v>
      </c>
      <c r="G1" s="137"/>
      <c r="H1" s="138"/>
      <c r="I1" s="139"/>
      <c r="J1" s="140"/>
      <c r="K1" s="141"/>
      <c r="L1" s="144"/>
      <c r="M1" s="138"/>
    </row>
    <row r="2" spans="2:16" s="98" customFormat="1" ht="12" x14ac:dyDescent="0.25">
      <c r="B2" s="145"/>
      <c r="C2" s="94"/>
      <c r="D2" s="146"/>
      <c r="E2" s="94"/>
      <c r="F2" s="94" t="s">
        <v>660</v>
      </c>
      <c r="G2" s="146"/>
      <c r="H2" s="96"/>
      <c r="I2" s="95"/>
      <c r="J2" s="95"/>
      <c r="K2" s="147"/>
      <c r="L2" s="146"/>
      <c r="M2" s="96"/>
    </row>
    <row r="3" spans="2:16" s="103" customFormat="1" ht="10.199999999999999" x14ac:dyDescent="0.2">
      <c r="B3" s="148"/>
      <c r="C3" s="778"/>
      <c r="D3" s="778"/>
      <c r="E3" s="99"/>
      <c r="F3" s="99">
        <v>45323</v>
      </c>
      <c r="G3" s="99"/>
      <c r="H3" s="100"/>
      <c r="I3" s="102"/>
      <c r="J3" s="100"/>
      <c r="K3" s="149"/>
      <c r="L3" s="150"/>
      <c r="M3" s="100"/>
    </row>
    <row r="4" spans="2:16" x14ac:dyDescent="0.15">
      <c r="B4" s="151"/>
      <c r="C4" s="151"/>
      <c r="D4" s="151"/>
      <c r="E4" s="151"/>
      <c r="F4" s="151"/>
      <c r="G4" s="152"/>
      <c r="H4" s="153"/>
      <c r="I4" s="153"/>
    </row>
    <row r="5" spans="2:16" ht="10.199999999999999" x14ac:dyDescent="0.2">
      <c r="B5" s="151"/>
      <c r="C5" s="151"/>
      <c r="D5" s="151"/>
      <c r="E5" s="151"/>
      <c r="F5" s="151"/>
      <c r="G5" s="152"/>
      <c r="H5" s="161"/>
      <c r="I5" s="162">
        <v>45323</v>
      </c>
      <c r="J5" s="161"/>
    </row>
    <row r="6" spans="2:16" s="160" customFormat="1" ht="9.6" x14ac:dyDescent="0.2">
      <c r="B6" s="163"/>
      <c r="C6" s="163"/>
      <c r="D6" s="163"/>
      <c r="E6" s="163"/>
      <c r="F6" s="151"/>
      <c r="G6" s="152"/>
      <c r="H6" s="164">
        <v>45351</v>
      </c>
      <c r="I6" s="164">
        <v>45199</v>
      </c>
      <c r="J6" s="165" t="s">
        <v>278</v>
      </c>
      <c r="K6" s="166"/>
    </row>
    <row r="7" spans="2:16" s="159" customFormat="1" x14ac:dyDescent="0.15">
      <c r="B7" s="151" t="s">
        <v>279</v>
      </c>
      <c r="C7" s="151"/>
      <c r="D7" s="151"/>
      <c r="E7" s="151"/>
      <c r="F7" s="151"/>
      <c r="G7" s="152"/>
      <c r="H7" s="170"/>
      <c r="I7" s="170"/>
      <c r="J7" s="170"/>
      <c r="K7" s="155"/>
    </row>
    <row r="8" spans="2:16" s="159" customFormat="1" x14ac:dyDescent="0.15">
      <c r="B8" s="151"/>
      <c r="C8" s="172" t="s">
        <v>280</v>
      </c>
      <c r="D8" s="172"/>
      <c r="E8" s="172"/>
      <c r="F8" s="172"/>
      <c r="G8" s="152"/>
      <c r="H8" s="170"/>
      <c r="I8" s="170"/>
      <c r="J8" s="170"/>
      <c r="K8" s="155"/>
    </row>
    <row r="9" spans="2:16" s="159" customFormat="1" x14ac:dyDescent="0.15">
      <c r="B9" s="151"/>
      <c r="C9" s="151"/>
      <c r="D9" s="151" t="s">
        <v>281</v>
      </c>
      <c r="E9" s="151"/>
      <c r="F9" s="151"/>
      <c r="G9" s="152"/>
      <c r="H9" s="170"/>
      <c r="I9" s="170"/>
      <c r="J9" s="170"/>
      <c r="K9" s="155"/>
    </row>
    <row r="10" spans="2:16" x14ac:dyDescent="0.15">
      <c r="B10" s="173"/>
      <c r="C10" s="173"/>
      <c r="D10" s="174">
        <v>1</v>
      </c>
      <c r="E10" s="173" t="s">
        <v>282</v>
      </c>
      <c r="F10" s="173"/>
      <c r="G10" s="152"/>
      <c r="H10" s="175">
        <v>228340.86</v>
      </c>
      <c r="I10" s="175">
        <v>133240.98000000001</v>
      </c>
      <c r="J10" s="175">
        <f>ROUND((H10-I10),5)</f>
        <v>95099.88</v>
      </c>
      <c r="L10" s="159"/>
      <c r="M10" s="159"/>
      <c r="N10" s="159"/>
      <c r="O10" s="159"/>
      <c r="P10" s="159"/>
    </row>
    <row r="11" spans="2:16" s="159" customFormat="1" x14ac:dyDescent="0.15">
      <c r="B11" s="151"/>
      <c r="C11" s="151"/>
      <c r="D11" s="151" t="s">
        <v>284</v>
      </c>
      <c r="E11" s="151"/>
      <c r="F11" s="151"/>
      <c r="G11" s="152"/>
      <c r="H11" s="176">
        <f>SUM(H10:H10)</f>
        <v>228340.86</v>
      </c>
      <c r="I11" s="176">
        <f>SUM(I10:I10)</f>
        <v>133240.98000000001</v>
      </c>
      <c r="J11" s="176">
        <f>SUM(J10:J10)</f>
        <v>95099.88</v>
      </c>
      <c r="K11" s="155"/>
    </row>
    <row r="12" spans="2:16" x14ac:dyDescent="0.15">
      <c r="B12" s="173"/>
      <c r="C12" s="173"/>
      <c r="D12" s="173"/>
      <c r="E12" s="173"/>
      <c r="F12" s="173"/>
      <c r="G12" s="152"/>
      <c r="H12" s="175"/>
      <c r="I12" s="175"/>
      <c r="J12" s="175"/>
      <c r="L12" s="159"/>
      <c r="M12" s="159"/>
      <c r="N12" s="159"/>
      <c r="O12" s="159"/>
      <c r="P12" s="159"/>
    </row>
    <row r="13" spans="2:16" s="159" customFormat="1" x14ac:dyDescent="0.15">
      <c r="B13" s="151"/>
      <c r="C13" s="151"/>
      <c r="D13" s="151" t="s">
        <v>285</v>
      </c>
      <c r="E13" s="151"/>
      <c r="F13" s="151"/>
      <c r="G13" s="152"/>
      <c r="H13" s="178"/>
      <c r="I13" s="178"/>
      <c r="J13" s="178"/>
      <c r="K13" s="155"/>
    </row>
    <row r="14" spans="2:16" x14ac:dyDescent="0.15">
      <c r="B14" s="173"/>
      <c r="C14" s="173"/>
      <c r="D14" s="174">
        <v>1</v>
      </c>
      <c r="E14" s="173" t="s">
        <v>286</v>
      </c>
      <c r="F14" s="173"/>
      <c r="G14" s="152"/>
      <c r="H14" s="175">
        <v>-10105.15</v>
      </c>
      <c r="I14" s="175">
        <v>19313.57</v>
      </c>
      <c r="J14" s="175">
        <f>ROUND((H14-I14),5)</f>
        <v>-29418.720000000001</v>
      </c>
      <c r="L14" s="159"/>
      <c r="M14" s="159"/>
      <c r="N14" s="159"/>
      <c r="O14" s="159"/>
      <c r="P14" s="159"/>
    </row>
    <row r="15" spans="2:16" s="159" customFormat="1" x14ac:dyDescent="0.15">
      <c r="B15" s="151"/>
      <c r="C15" s="151"/>
      <c r="D15" s="151" t="s">
        <v>287</v>
      </c>
      <c r="E15" s="151"/>
      <c r="F15" s="151"/>
      <c r="G15" s="152"/>
      <c r="H15" s="176">
        <f>ROUND(SUM(H13:H14),5)</f>
        <v>-10105.15</v>
      </c>
      <c r="I15" s="176">
        <f>ROUND(SUM(I13:I14),5)</f>
        <v>19313.57</v>
      </c>
      <c r="J15" s="176">
        <f>ROUND((H15-I15),5)</f>
        <v>-29418.720000000001</v>
      </c>
      <c r="K15" s="155"/>
    </row>
    <row r="16" spans="2:16" x14ac:dyDescent="0.15">
      <c r="B16" s="173"/>
      <c r="C16" s="173"/>
      <c r="D16" s="173"/>
      <c r="E16" s="173"/>
      <c r="F16" s="173"/>
      <c r="G16" s="152"/>
      <c r="H16" s="175"/>
      <c r="I16" s="175"/>
      <c r="J16" s="175"/>
      <c r="L16" s="159"/>
      <c r="M16" s="159"/>
      <c r="N16" s="159"/>
      <c r="O16" s="159"/>
      <c r="P16" s="159"/>
    </row>
    <row r="17" spans="2:16" s="159" customFormat="1" x14ac:dyDescent="0.15">
      <c r="B17" s="151"/>
      <c r="C17" s="151"/>
      <c r="D17" s="151" t="s">
        <v>288</v>
      </c>
      <c r="E17" s="151"/>
      <c r="F17" s="151"/>
      <c r="G17" s="152"/>
      <c r="H17" s="178"/>
      <c r="I17" s="178"/>
      <c r="J17" s="178"/>
      <c r="K17" s="155"/>
    </row>
    <row r="18" spans="2:16" x14ac:dyDescent="0.15">
      <c r="B18" s="173"/>
      <c r="C18" s="173"/>
      <c r="D18" s="174">
        <v>1</v>
      </c>
      <c r="E18" s="173" t="s">
        <v>289</v>
      </c>
      <c r="F18" s="173"/>
      <c r="G18" s="152"/>
      <c r="H18" s="175">
        <v>4070.9</v>
      </c>
      <c r="I18" s="175">
        <v>4070.9</v>
      </c>
      <c r="J18" s="175">
        <f t="shared" ref="J18:J28" si="0">ROUND((H18-I18),5)</f>
        <v>0</v>
      </c>
      <c r="L18" s="159"/>
      <c r="M18" s="159"/>
      <c r="N18" s="159"/>
      <c r="O18" s="159"/>
      <c r="P18" s="159"/>
    </row>
    <row r="19" spans="2:16" x14ac:dyDescent="0.15">
      <c r="B19" s="173"/>
      <c r="C19" s="173"/>
      <c r="D19" s="174">
        <v>2</v>
      </c>
      <c r="E19" s="173" t="s">
        <v>290</v>
      </c>
      <c r="F19" s="173"/>
      <c r="G19" s="152"/>
      <c r="H19" s="175">
        <v>0</v>
      </c>
      <c r="I19" s="175">
        <v>0</v>
      </c>
      <c r="J19" s="175">
        <f t="shared" si="0"/>
        <v>0</v>
      </c>
      <c r="L19" s="159"/>
      <c r="M19" s="159"/>
      <c r="N19" s="159"/>
      <c r="O19" s="159"/>
      <c r="P19" s="159"/>
    </row>
    <row r="20" spans="2:16" x14ac:dyDescent="0.15">
      <c r="B20" s="173"/>
      <c r="C20" s="173"/>
      <c r="D20" s="174">
        <v>3</v>
      </c>
      <c r="E20" s="179" t="s">
        <v>291</v>
      </c>
      <c r="F20" s="173"/>
      <c r="G20" s="152"/>
      <c r="H20" s="175">
        <v>0</v>
      </c>
      <c r="I20" s="175">
        <v>0</v>
      </c>
      <c r="J20" s="175">
        <f t="shared" si="0"/>
        <v>0</v>
      </c>
      <c r="L20" s="159"/>
      <c r="M20" s="159"/>
      <c r="N20" s="159"/>
      <c r="O20" s="159"/>
      <c r="P20" s="159"/>
    </row>
    <row r="21" spans="2:16" x14ac:dyDescent="0.15">
      <c r="B21" s="173"/>
      <c r="C21" s="173"/>
      <c r="D21" s="174">
        <v>4</v>
      </c>
      <c r="E21" s="173" t="s">
        <v>292</v>
      </c>
      <c r="F21" s="173"/>
      <c r="G21" s="152"/>
      <c r="H21" s="175">
        <v>28161.79</v>
      </c>
      <c r="I21" s="175">
        <v>28161.79</v>
      </c>
      <c r="J21" s="175">
        <f t="shared" si="0"/>
        <v>0</v>
      </c>
      <c r="L21" s="159"/>
      <c r="M21" s="159"/>
      <c r="N21" s="159"/>
      <c r="O21" s="159"/>
      <c r="P21" s="159"/>
    </row>
    <row r="22" spans="2:16" x14ac:dyDescent="0.15">
      <c r="B22" s="173"/>
      <c r="C22" s="173"/>
      <c r="D22" s="174">
        <v>5</v>
      </c>
      <c r="E22" s="173" t="s">
        <v>293</v>
      </c>
      <c r="F22" s="173"/>
      <c r="G22" s="152"/>
      <c r="H22" s="175">
        <v>26059</v>
      </c>
      <c r="I22" s="175">
        <v>26059</v>
      </c>
      <c r="J22" s="175">
        <f t="shared" si="0"/>
        <v>0</v>
      </c>
      <c r="L22" s="159"/>
      <c r="M22" s="159"/>
      <c r="N22" s="159"/>
      <c r="O22" s="159"/>
      <c r="P22" s="159"/>
    </row>
    <row r="23" spans="2:16" x14ac:dyDescent="0.15">
      <c r="B23" s="173"/>
      <c r="C23" s="173"/>
      <c r="D23" s="174">
        <v>6</v>
      </c>
      <c r="E23" s="173" t="s">
        <v>294</v>
      </c>
      <c r="F23" s="173"/>
      <c r="G23" s="152"/>
      <c r="H23" s="175">
        <v>23862.75</v>
      </c>
      <c r="I23" s="175">
        <v>23862.75</v>
      </c>
      <c r="J23" s="175">
        <f t="shared" si="0"/>
        <v>0</v>
      </c>
      <c r="L23" s="159"/>
      <c r="M23" s="159"/>
      <c r="N23" s="159"/>
      <c r="O23" s="159"/>
      <c r="P23" s="159"/>
    </row>
    <row r="24" spans="2:16" x14ac:dyDescent="0.15">
      <c r="B24" s="173"/>
      <c r="C24" s="173"/>
      <c r="D24" s="174">
        <v>7</v>
      </c>
      <c r="E24" s="173" t="s">
        <v>295</v>
      </c>
      <c r="F24" s="173"/>
      <c r="G24" s="152"/>
      <c r="H24" s="175">
        <v>602.74</v>
      </c>
      <c r="I24" s="175">
        <v>12094.46</v>
      </c>
      <c r="J24" s="175">
        <f t="shared" si="0"/>
        <v>-11491.72</v>
      </c>
      <c r="L24" s="159"/>
      <c r="M24" s="159"/>
      <c r="N24" s="159"/>
      <c r="O24" s="159"/>
      <c r="P24" s="159"/>
    </row>
    <row r="25" spans="2:16" x14ac:dyDescent="0.15">
      <c r="B25" s="173"/>
      <c r="C25" s="173"/>
      <c r="D25" s="174">
        <v>8</v>
      </c>
      <c r="E25" s="173" t="s">
        <v>296</v>
      </c>
      <c r="F25" s="173"/>
      <c r="G25" s="152"/>
      <c r="H25" s="175">
        <v>6110.48</v>
      </c>
      <c r="I25" s="175">
        <v>35562.370000000003</v>
      </c>
      <c r="J25" s="175">
        <f t="shared" si="0"/>
        <v>-29451.89</v>
      </c>
      <c r="L25" s="159"/>
      <c r="M25" s="159"/>
      <c r="N25" s="159"/>
      <c r="O25" s="159"/>
      <c r="P25" s="159"/>
    </row>
    <row r="26" spans="2:16" x14ac:dyDescent="0.15">
      <c r="B26" s="173"/>
      <c r="C26" s="173"/>
      <c r="D26" s="174">
        <v>9</v>
      </c>
      <c r="E26" s="173" t="s">
        <v>657</v>
      </c>
      <c r="F26" s="173"/>
      <c r="G26" s="152"/>
      <c r="H26" s="175">
        <v>1188.8900000000001</v>
      </c>
      <c r="I26" s="175">
        <v>1188.8900000000001</v>
      </c>
      <c r="J26" s="175">
        <f t="shared" ref="J26" si="1">ROUND((H26-I26),5)</f>
        <v>0</v>
      </c>
      <c r="L26" s="159"/>
      <c r="M26" s="159"/>
      <c r="N26" s="159"/>
      <c r="O26" s="159"/>
      <c r="P26" s="159"/>
    </row>
    <row r="27" spans="2:16" s="159" customFormat="1" x14ac:dyDescent="0.15">
      <c r="B27" s="151"/>
      <c r="C27" s="151"/>
      <c r="D27" s="174">
        <v>10</v>
      </c>
      <c r="E27" s="173" t="s">
        <v>656</v>
      </c>
      <c r="F27" s="173"/>
      <c r="G27" s="152"/>
      <c r="H27" s="175">
        <v>0</v>
      </c>
      <c r="I27" s="175">
        <v>0</v>
      </c>
      <c r="J27" s="175">
        <f t="shared" si="0"/>
        <v>0</v>
      </c>
      <c r="K27" s="155"/>
    </row>
    <row r="28" spans="2:16" s="159" customFormat="1" x14ac:dyDescent="0.15">
      <c r="B28" s="151"/>
      <c r="C28" s="151"/>
      <c r="D28" s="151" t="s">
        <v>297</v>
      </c>
      <c r="E28" s="151"/>
      <c r="F28" s="151"/>
      <c r="G28" s="152"/>
      <c r="H28" s="176">
        <f>SUM(H18:H27)</f>
        <v>90056.55</v>
      </c>
      <c r="I28" s="176">
        <f>ROUND(SUM(I17:I27),5)</f>
        <v>131000.16</v>
      </c>
      <c r="J28" s="176">
        <f t="shared" si="0"/>
        <v>-40943.61</v>
      </c>
      <c r="K28" s="155"/>
      <c r="L28" s="156"/>
    </row>
    <row r="29" spans="2:16" s="159" customFormat="1" x14ac:dyDescent="0.15">
      <c r="B29" s="151"/>
      <c r="C29" s="151"/>
      <c r="D29" s="151"/>
      <c r="E29" s="151"/>
      <c r="F29" s="151"/>
      <c r="G29" s="152"/>
      <c r="H29" s="178"/>
      <c r="I29" s="178"/>
      <c r="J29" s="178"/>
      <c r="K29" s="155"/>
    </row>
    <row r="30" spans="2:16" s="159" customFormat="1" x14ac:dyDescent="0.15">
      <c r="B30" s="151"/>
      <c r="C30" s="181" t="s">
        <v>298</v>
      </c>
      <c r="D30" s="181"/>
      <c r="E30" s="181"/>
      <c r="F30" s="181"/>
      <c r="G30" s="182"/>
      <c r="H30" s="176">
        <f>ROUND(H8+H11+H15+H28,5)</f>
        <v>308292.26</v>
      </c>
      <c r="I30" s="176">
        <f>ROUND(I8+I11+I15+I28,5)</f>
        <v>283554.71000000002</v>
      </c>
      <c r="J30" s="176">
        <f>ROUND((H30-I30),5)</f>
        <v>24737.55</v>
      </c>
      <c r="K30" s="155"/>
      <c r="L30" s="156"/>
    </row>
    <row r="31" spans="2:16" s="159" customFormat="1" x14ac:dyDescent="0.15">
      <c r="B31" s="151"/>
      <c r="C31" s="151"/>
      <c r="D31" s="151"/>
      <c r="E31" s="151"/>
      <c r="F31" s="151"/>
      <c r="G31" s="152"/>
      <c r="H31" s="183"/>
      <c r="I31" s="183"/>
      <c r="J31" s="183"/>
      <c r="K31" s="155"/>
    </row>
    <row r="32" spans="2:16" x14ac:dyDescent="0.15">
      <c r="B32" s="151"/>
      <c r="C32" s="151" t="s">
        <v>300</v>
      </c>
      <c r="D32" s="151"/>
      <c r="E32" s="151"/>
      <c r="F32" s="151"/>
      <c r="G32" s="152"/>
      <c r="H32" s="183"/>
      <c r="I32" s="183"/>
      <c r="J32" s="183"/>
      <c r="L32" s="159"/>
      <c r="M32" s="159"/>
      <c r="N32" s="159"/>
      <c r="O32" s="159"/>
      <c r="P32" s="159"/>
    </row>
    <row r="33" spans="1:13" x14ac:dyDescent="0.15">
      <c r="B33" s="151"/>
      <c r="C33" s="173"/>
      <c r="D33" s="174">
        <v>1</v>
      </c>
      <c r="E33" s="173" t="s">
        <v>302</v>
      </c>
      <c r="F33" s="173"/>
      <c r="G33" s="152"/>
      <c r="H33" s="175">
        <v>-5505928.5499999998</v>
      </c>
      <c r="I33" s="175">
        <v>-5505928.5499999998</v>
      </c>
      <c r="J33" s="175">
        <f>ROUND((H33-I33),5)</f>
        <v>0</v>
      </c>
      <c r="L33" s="218"/>
    </row>
    <row r="34" spans="1:13" s="159" customFormat="1" x14ac:dyDescent="0.15">
      <c r="B34" s="151"/>
      <c r="C34" s="173"/>
      <c r="D34" s="174">
        <v>2</v>
      </c>
      <c r="E34" s="173" t="s">
        <v>304</v>
      </c>
      <c r="F34" s="173"/>
      <c r="G34" s="152"/>
      <c r="H34" s="175">
        <v>10513137.310000001</v>
      </c>
      <c r="I34" s="175">
        <v>10222439.609999999</v>
      </c>
      <c r="J34" s="175">
        <f>ROUND((H34-I34),5)</f>
        <v>290697.7</v>
      </c>
      <c r="K34" s="155"/>
      <c r="L34" s="160"/>
      <c r="M34" s="154"/>
    </row>
    <row r="35" spans="1:13" x14ac:dyDescent="0.15">
      <c r="B35" s="173"/>
      <c r="C35" s="181" t="s">
        <v>305</v>
      </c>
      <c r="D35" s="184"/>
      <c r="E35" s="181"/>
      <c r="F35" s="181"/>
      <c r="G35" s="182"/>
      <c r="H35" s="176">
        <f>ROUND(SUM(H33:H34),5)</f>
        <v>5007208.76</v>
      </c>
      <c r="I35" s="176">
        <f>ROUND(SUM(I33:I34),5)</f>
        <v>4716511.0599999996</v>
      </c>
      <c r="J35" s="176">
        <f>ROUND((H35-I35),5)</f>
        <v>290697.7</v>
      </c>
      <c r="L35" s="159"/>
      <c r="M35" s="159"/>
    </row>
    <row r="36" spans="1:13" s="159" customFormat="1" x14ac:dyDescent="0.15">
      <c r="B36" s="173"/>
      <c r="C36" s="173"/>
      <c r="D36" s="185"/>
      <c r="E36" s="186"/>
      <c r="F36" s="186"/>
      <c r="G36" s="187"/>
      <c r="H36" s="183"/>
      <c r="I36" s="183"/>
      <c r="J36" s="183"/>
      <c r="K36" s="155"/>
    </row>
    <row r="37" spans="1:13" x14ac:dyDescent="0.15">
      <c r="B37" s="151"/>
      <c r="C37" s="151" t="s">
        <v>306</v>
      </c>
      <c r="D37" s="163"/>
      <c r="E37" s="151"/>
      <c r="F37" s="151"/>
      <c r="G37" s="152"/>
      <c r="H37" s="178"/>
      <c r="I37" s="178"/>
      <c r="J37" s="178"/>
      <c r="L37" s="159"/>
      <c r="M37" s="159"/>
    </row>
    <row r="38" spans="1:13" x14ac:dyDescent="0.15">
      <c r="B38" s="173"/>
      <c r="C38" s="174"/>
      <c r="D38" s="174">
        <v>1</v>
      </c>
      <c r="E38" s="173" t="s">
        <v>307</v>
      </c>
      <c r="F38" s="173"/>
      <c r="G38" s="152"/>
      <c r="H38" s="175">
        <v>0</v>
      </c>
      <c r="I38" s="175">
        <v>0</v>
      </c>
      <c r="J38" s="175">
        <f t="shared" ref="J38:J48" si="2">ROUND((H38-I38),5)</f>
        <v>0</v>
      </c>
      <c r="L38" s="159"/>
      <c r="M38" s="159"/>
    </row>
    <row r="39" spans="1:13" x14ac:dyDescent="0.15">
      <c r="B39" s="151"/>
      <c r="C39" s="174"/>
      <c r="D39" s="174">
        <v>2</v>
      </c>
      <c r="E39" s="173" t="s">
        <v>308</v>
      </c>
      <c r="F39" s="173"/>
      <c r="G39" s="152"/>
      <c r="H39" s="175">
        <v>0</v>
      </c>
      <c r="I39" s="175">
        <v>0</v>
      </c>
      <c r="J39" s="175">
        <f t="shared" si="2"/>
        <v>0</v>
      </c>
      <c r="L39" s="159"/>
      <c r="M39" s="159"/>
    </row>
    <row r="40" spans="1:13" x14ac:dyDescent="0.15">
      <c r="B40" s="173"/>
      <c r="C40" s="174"/>
      <c r="D40" s="174">
        <v>3</v>
      </c>
      <c r="E40" s="173" t="s">
        <v>309</v>
      </c>
      <c r="F40" s="173"/>
      <c r="G40" s="152"/>
      <c r="H40" s="175">
        <v>20129.37</v>
      </c>
      <c r="I40" s="175">
        <v>20129.37</v>
      </c>
      <c r="J40" s="175">
        <f t="shared" si="2"/>
        <v>0</v>
      </c>
    </row>
    <row r="41" spans="1:13" x14ac:dyDescent="0.15">
      <c r="B41" s="173"/>
      <c r="C41" s="174"/>
      <c r="D41" s="174">
        <v>4</v>
      </c>
      <c r="E41" s="173" t="s">
        <v>310</v>
      </c>
      <c r="F41" s="173"/>
      <c r="G41" s="152"/>
      <c r="H41" s="175">
        <v>11872.03</v>
      </c>
      <c r="I41" s="175">
        <v>11872.03</v>
      </c>
      <c r="J41" s="175">
        <f t="shared" si="2"/>
        <v>0</v>
      </c>
    </row>
    <row r="42" spans="1:13" x14ac:dyDescent="0.15">
      <c r="B42" s="173"/>
      <c r="C42" s="174"/>
      <c r="D42" s="174">
        <v>5</v>
      </c>
      <c r="E42" s="173" t="s">
        <v>311</v>
      </c>
      <c r="F42" s="173"/>
      <c r="G42" s="152"/>
      <c r="H42" s="175">
        <v>318250.21999999997</v>
      </c>
      <c r="I42" s="175">
        <v>407933.94</v>
      </c>
      <c r="J42" s="175">
        <f t="shared" si="2"/>
        <v>-89683.72</v>
      </c>
      <c r="L42" s="159"/>
      <c r="M42" s="159"/>
    </row>
    <row r="43" spans="1:13" x14ac:dyDescent="0.15">
      <c r="B43" s="173"/>
      <c r="C43" s="174"/>
      <c r="D43" s="174">
        <v>6</v>
      </c>
      <c r="E43" s="173" t="s">
        <v>312</v>
      </c>
      <c r="F43" s="173"/>
      <c r="G43" s="188"/>
      <c r="H43" s="175">
        <v>709385.83</v>
      </c>
      <c r="I43" s="175">
        <v>706569.98</v>
      </c>
      <c r="J43" s="175">
        <f t="shared" si="2"/>
        <v>2815.85</v>
      </c>
    </row>
    <row r="44" spans="1:13" x14ac:dyDescent="0.15">
      <c r="B44" s="173"/>
      <c r="C44" s="174"/>
      <c r="D44" s="174">
        <v>7</v>
      </c>
      <c r="E44" s="173" t="s">
        <v>313</v>
      </c>
      <c r="F44" s="173"/>
      <c r="G44" s="152"/>
      <c r="H44" s="175">
        <v>102493.56</v>
      </c>
      <c r="I44" s="175">
        <v>96381.98</v>
      </c>
      <c r="J44" s="175">
        <f t="shared" si="2"/>
        <v>6111.58</v>
      </c>
      <c r="L44" s="159"/>
      <c r="M44" s="159"/>
    </row>
    <row r="45" spans="1:13" x14ac:dyDescent="0.15">
      <c r="B45" s="173"/>
      <c r="C45" s="174"/>
      <c r="D45" s="174">
        <v>8</v>
      </c>
      <c r="E45" s="173" t="s">
        <v>314</v>
      </c>
      <c r="F45" s="173"/>
      <c r="G45" s="152"/>
      <c r="H45" s="175">
        <v>0</v>
      </c>
      <c r="I45" s="175">
        <v>0</v>
      </c>
      <c r="J45" s="175">
        <f t="shared" si="2"/>
        <v>0</v>
      </c>
    </row>
    <row r="46" spans="1:13" x14ac:dyDescent="0.15">
      <c r="B46" s="173"/>
      <c r="C46" s="174"/>
      <c r="D46" s="174">
        <v>9</v>
      </c>
      <c r="E46" s="173" t="s">
        <v>315</v>
      </c>
      <c r="F46" s="173"/>
      <c r="G46" s="152"/>
      <c r="H46" s="175">
        <v>12440.56</v>
      </c>
      <c r="I46" s="175">
        <v>12440.56</v>
      </c>
      <c r="J46" s="175">
        <f t="shared" si="2"/>
        <v>0</v>
      </c>
    </row>
    <row r="47" spans="1:13" s="159" customFormat="1" x14ac:dyDescent="0.15">
      <c r="A47" s="156"/>
      <c r="B47" s="173"/>
      <c r="C47" s="174"/>
      <c r="D47" s="174">
        <v>10</v>
      </c>
      <c r="E47" s="173" t="s">
        <v>316</v>
      </c>
      <c r="F47" s="173"/>
      <c r="G47" s="152"/>
      <c r="H47" s="175">
        <v>0</v>
      </c>
      <c r="I47" s="175">
        <v>0</v>
      </c>
      <c r="J47" s="175">
        <f t="shared" si="2"/>
        <v>0</v>
      </c>
      <c r="K47" s="155"/>
    </row>
    <row r="48" spans="1:13" x14ac:dyDescent="0.15">
      <c r="A48" s="159"/>
      <c r="B48" s="173"/>
      <c r="C48" s="151"/>
      <c r="D48" s="174">
        <v>11</v>
      </c>
      <c r="E48" s="173" t="s">
        <v>317</v>
      </c>
      <c r="F48" s="173"/>
      <c r="G48" s="152"/>
      <c r="H48" s="175">
        <v>0</v>
      </c>
      <c r="I48" s="175">
        <v>0</v>
      </c>
      <c r="J48" s="175">
        <f t="shared" si="2"/>
        <v>0</v>
      </c>
      <c r="L48" s="156"/>
      <c r="M48" s="156"/>
    </row>
    <row r="49" spans="1:13" s="186" customFormat="1" x14ac:dyDescent="0.15">
      <c r="A49" s="156"/>
      <c r="B49" s="173"/>
      <c r="C49" s="151"/>
      <c r="D49" s="151" t="s">
        <v>318</v>
      </c>
      <c r="E49" s="151"/>
      <c r="F49" s="151"/>
      <c r="G49" s="152"/>
      <c r="H49" s="178">
        <f>SUM(H38:H48)</f>
        <v>1174571.57</v>
      </c>
      <c r="I49" s="178">
        <f t="shared" ref="I49:J49" si="3">SUM(I38:I48)</f>
        <v>1255327.8600000001</v>
      </c>
      <c r="J49" s="178">
        <f t="shared" si="3"/>
        <v>-80756.289999999994</v>
      </c>
      <c r="K49" s="155"/>
    </row>
    <row r="50" spans="1:13" s="189" customFormat="1" x14ac:dyDescent="0.15">
      <c r="A50" s="156"/>
      <c r="B50" s="173"/>
      <c r="C50" s="151"/>
      <c r="D50" s="173"/>
      <c r="E50" s="151"/>
      <c r="F50" s="151"/>
      <c r="G50" s="152"/>
      <c r="H50" s="178"/>
      <c r="I50" s="178"/>
      <c r="J50" s="178"/>
      <c r="K50" s="155"/>
    </row>
    <row r="51" spans="1:13" s="159" customFormat="1" x14ac:dyDescent="0.15">
      <c r="A51" s="156"/>
      <c r="B51" s="173"/>
      <c r="C51" s="173"/>
      <c r="D51" s="174">
        <v>1</v>
      </c>
      <c r="E51" s="173" t="s">
        <v>319</v>
      </c>
      <c r="F51" s="173"/>
      <c r="G51" s="152"/>
      <c r="H51" s="175">
        <v>71109.710000000006</v>
      </c>
      <c r="I51" s="175">
        <v>-156360.31</v>
      </c>
      <c r="J51" s="175">
        <f>H51-I51</f>
        <v>227470.02000000002</v>
      </c>
      <c r="K51" s="155"/>
      <c r="L51" s="156"/>
    </row>
    <row r="52" spans="1:13" s="159" customFormat="1" x14ac:dyDescent="0.15">
      <c r="A52" s="186"/>
      <c r="B52" s="173"/>
      <c r="C52" s="181" t="s">
        <v>320</v>
      </c>
      <c r="D52" s="181"/>
      <c r="E52" s="190"/>
      <c r="F52" s="190"/>
      <c r="G52" s="182"/>
      <c r="H52" s="176">
        <f>SUM(H49:H51)</f>
        <v>1245681.28</v>
      </c>
      <c r="I52" s="176">
        <f>SUM(I49:I51)</f>
        <v>1098967.55</v>
      </c>
      <c r="J52" s="176">
        <f>SUM(J49:J51)</f>
        <v>146713.73000000004</v>
      </c>
      <c r="K52" s="155"/>
      <c r="L52" s="156"/>
    </row>
    <row r="53" spans="1:13" s="159" customFormat="1" x14ac:dyDescent="0.15">
      <c r="A53" s="186"/>
      <c r="B53" s="173"/>
      <c r="C53" s="151"/>
      <c r="D53" s="151"/>
      <c r="E53" s="173"/>
      <c r="F53" s="173"/>
      <c r="G53" s="152"/>
      <c r="H53" s="175"/>
      <c r="I53" s="175"/>
      <c r="J53" s="175"/>
      <c r="K53" s="155"/>
    </row>
    <row r="54" spans="1:13" s="159" customFormat="1" x14ac:dyDescent="0.15">
      <c r="A54" s="189"/>
      <c r="B54" s="191" t="s">
        <v>321</v>
      </c>
      <c r="C54" s="192"/>
      <c r="D54" s="192"/>
      <c r="E54" s="191"/>
      <c r="F54" s="191"/>
      <c r="G54" s="193"/>
      <c r="H54" s="194">
        <f>SUM(H30+H35+H52)</f>
        <v>6561182.2999999998</v>
      </c>
      <c r="I54" s="194">
        <f>SUM(I30+I35+I52)</f>
        <v>6099033.3199999994</v>
      </c>
      <c r="J54" s="194">
        <f>SUM(J30+J35+J52)</f>
        <v>462148.98000000004</v>
      </c>
      <c r="K54" s="155"/>
      <c r="L54" s="156"/>
    </row>
    <row r="55" spans="1:13" x14ac:dyDescent="0.15">
      <c r="A55" s="159"/>
      <c r="B55" s="173"/>
      <c r="C55" s="173"/>
      <c r="D55" s="173"/>
      <c r="E55" s="151"/>
      <c r="F55" s="151"/>
      <c r="G55" s="152"/>
      <c r="H55" s="175"/>
      <c r="I55" s="175"/>
      <c r="J55" s="175"/>
      <c r="L55" s="156"/>
      <c r="M55" s="156"/>
    </row>
    <row r="56" spans="1:13" s="159" customFormat="1" x14ac:dyDescent="0.15">
      <c r="B56" s="151"/>
      <c r="C56" s="151"/>
      <c r="D56" s="151"/>
      <c r="E56" s="173"/>
      <c r="F56" s="173"/>
      <c r="G56" s="152"/>
      <c r="H56" s="178"/>
      <c r="I56" s="178"/>
      <c r="J56" s="178"/>
      <c r="K56" s="155"/>
    </row>
    <row r="57" spans="1:13" x14ac:dyDescent="0.15">
      <c r="A57" s="159"/>
      <c r="B57" s="151" t="s">
        <v>322</v>
      </c>
      <c r="C57" s="151"/>
      <c r="D57" s="151"/>
      <c r="E57" s="173"/>
      <c r="F57" s="173"/>
      <c r="G57" s="152"/>
      <c r="H57" s="178"/>
      <c r="I57" s="178"/>
      <c r="J57" s="178"/>
      <c r="L57" s="156"/>
      <c r="M57" s="156"/>
    </row>
    <row r="58" spans="1:13" s="159" customFormat="1" x14ac:dyDescent="0.15">
      <c r="B58" s="151"/>
      <c r="C58" s="151" t="s">
        <v>323</v>
      </c>
      <c r="D58" s="173"/>
      <c r="E58" s="173"/>
      <c r="F58" s="173"/>
      <c r="G58" s="152"/>
      <c r="H58" s="178"/>
      <c r="I58" s="178"/>
      <c r="J58" s="178"/>
      <c r="K58" s="155"/>
    </row>
    <row r="59" spans="1:13" x14ac:dyDescent="0.15">
      <c r="B59" s="151"/>
      <c r="C59" s="151"/>
      <c r="D59" s="151" t="s">
        <v>324</v>
      </c>
      <c r="E59" s="173"/>
      <c r="F59" s="173"/>
      <c r="G59" s="152"/>
      <c r="H59" s="178"/>
      <c r="I59" s="178"/>
      <c r="J59" s="178"/>
      <c r="L59" s="156"/>
      <c r="M59" s="156"/>
    </row>
    <row r="60" spans="1:13" x14ac:dyDescent="0.15">
      <c r="A60" s="159"/>
      <c r="B60" s="151"/>
      <c r="C60" s="173"/>
      <c r="D60" s="185"/>
      <c r="E60" s="151" t="s">
        <v>325</v>
      </c>
      <c r="F60" s="151"/>
      <c r="H60" s="178"/>
      <c r="I60" s="178"/>
      <c r="J60" s="178"/>
      <c r="L60" s="156"/>
      <c r="M60" s="156"/>
    </row>
    <row r="61" spans="1:13" x14ac:dyDescent="0.15">
      <c r="B61" s="173"/>
      <c r="C61" s="151"/>
      <c r="D61" s="174">
        <v>1</v>
      </c>
      <c r="E61" s="173" t="s">
        <v>326</v>
      </c>
      <c r="G61" s="152"/>
      <c r="H61" s="175">
        <v>7946.61</v>
      </c>
      <c r="I61" s="175">
        <v>31405.81</v>
      </c>
      <c r="J61" s="175">
        <f>ROUND((H61-I61),5)</f>
        <v>-23459.200000000001</v>
      </c>
      <c r="L61" s="156"/>
      <c r="M61" s="156"/>
    </row>
    <row r="62" spans="1:13" x14ac:dyDescent="0.15">
      <c r="A62" s="159"/>
      <c r="B62" s="151"/>
      <c r="C62" s="173"/>
      <c r="D62" s="185"/>
      <c r="E62" s="151" t="s">
        <v>327</v>
      </c>
      <c r="F62" s="151"/>
      <c r="G62" s="152"/>
      <c r="H62" s="176">
        <f>ROUND(SUM(H61:H61),5)</f>
        <v>7946.61</v>
      </c>
      <c r="I62" s="176">
        <f>ROUND(SUM(I61:I61),5)</f>
        <v>31405.81</v>
      </c>
      <c r="J62" s="176">
        <f>ROUND((H62-I62),5)</f>
        <v>-23459.200000000001</v>
      </c>
      <c r="L62" s="156"/>
      <c r="M62" s="156"/>
    </row>
    <row r="63" spans="1:13" x14ac:dyDescent="0.15">
      <c r="B63" s="173"/>
      <c r="C63" s="173"/>
      <c r="D63" s="185"/>
      <c r="E63" s="173"/>
      <c r="F63" s="173"/>
      <c r="G63" s="152"/>
      <c r="H63" s="175"/>
      <c r="I63" s="175"/>
      <c r="J63" s="175"/>
      <c r="L63" s="156"/>
      <c r="M63" s="156"/>
    </row>
    <row r="64" spans="1:13" x14ac:dyDescent="0.15">
      <c r="B64" s="151"/>
      <c r="C64" s="173"/>
      <c r="D64" s="185"/>
      <c r="E64" s="151" t="s">
        <v>328</v>
      </c>
      <c r="F64" s="151"/>
      <c r="H64" s="178"/>
      <c r="I64" s="178"/>
      <c r="J64" s="178"/>
      <c r="L64" s="156"/>
      <c r="M64" s="156"/>
    </row>
    <row r="65" spans="1:13" x14ac:dyDescent="0.15">
      <c r="B65" s="173"/>
      <c r="C65" s="173"/>
      <c r="D65" s="174">
        <v>1</v>
      </c>
      <c r="E65" s="173" t="s">
        <v>329</v>
      </c>
      <c r="H65" s="175">
        <v>5557.92</v>
      </c>
      <c r="I65" s="175">
        <v>5217.24</v>
      </c>
      <c r="J65" s="175">
        <f t="shared" ref="J65:J71" si="4">ROUND((H65-I65),5)</f>
        <v>340.68</v>
      </c>
      <c r="L65" s="156"/>
      <c r="M65" s="156"/>
    </row>
    <row r="66" spans="1:13" x14ac:dyDescent="0.15">
      <c r="B66" s="173"/>
      <c r="C66" s="173"/>
      <c r="D66" s="174">
        <v>2</v>
      </c>
      <c r="E66" s="173" t="s">
        <v>330</v>
      </c>
      <c r="H66" s="175">
        <v>24100</v>
      </c>
      <c r="I66" s="175">
        <v>15850</v>
      </c>
      <c r="J66" s="175">
        <f t="shared" si="4"/>
        <v>8250</v>
      </c>
      <c r="L66" s="156"/>
      <c r="M66" s="156"/>
    </row>
    <row r="67" spans="1:13" s="159" customFormat="1" x14ac:dyDescent="0.15">
      <c r="A67" s="156"/>
      <c r="B67" s="173"/>
      <c r="C67" s="173"/>
      <c r="D67" s="174">
        <v>3</v>
      </c>
      <c r="E67" s="173" t="s">
        <v>331</v>
      </c>
      <c r="F67" s="186"/>
      <c r="G67" s="187"/>
      <c r="H67" s="175">
        <v>101.11</v>
      </c>
      <c r="I67" s="175">
        <v>5536.65</v>
      </c>
      <c r="J67" s="175">
        <f t="shared" si="4"/>
        <v>-5435.54</v>
      </c>
      <c r="K67" s="155"/>
    </row>
    <row r="68" spans="1:13" x14ac:dyDescent="0.15">
      <c r="B68" s="173"/>
      <c r="C68" s="151"/>
      <c r="D68" s="174">
        <v>4</v>
      </c>
      <c r="E68" s="173" t="s">
        <v>333</v>
      </c>
      <c r="H68" s="175">
        <v>0</v>
      </c>
      <c r="I68" s="175">
        <v>0</v>
      </c>
      <c r="J68" s="175">
        <f t="shared" si="4"/>
        <v>0</v>
      </c>
      <c r="L68" s="156"/>
      <c r="M68" s="156"/>
    </row>
    <row r="69" spans="1:13" s="159" customFormat="1" x14ac:dyDescent="0.15">
      <c r="A69" s="156"/>
      <c r="B69" s="173"/>
      <c r="C69" s="173"/>
      <c r="D69" s="174">
        <v>5</v>
      </c>
      <c r="E69" s="173" t="s">
        <v>334</v>
      </c>
      <c r="F69" s="186"/>
      <c r="G69" s="187"/>
      <c r="H69" s="175">
        <v>0</v>
      </c>
      <c r="I69" s="175">
        <v>0</v>
      </c>
      <c r="J69" s="175">
        <f t="shared" si="4"/>
        <v>0</v>
      </c>
      <c r="K69" s="155"/>
    </row>
    <row r="70" spans="1:13" x14ac:dyDescent="0.15">
      <c r="B70" s="173"/>
      <c r="C70" s="151"/>
      <c r="D70" s="174">
        <v>6</v>
      </c>
      <c r="E70" s="173" t="s">
        <v>335</v>
      </c>
      <c r="G70" s="152"/>
      <c r="H70" s="175">
        <v>0</v>
      </c>
      <c r="I70" s="175">
        <v>0</v>
      </c>
      <c r="J70" s="175">
        <f t="shared" si="4"/>
        <v>0</v>
      </c>
      <c r="L70" s="156"/>
      <c r="M70" s="156"/>
    </row>
    <row r="71" spans="1:13" x14ac:dyDescent="0.15">
      <c r="A71" s="159"/>
      <c r="B71" s="173"/>
      <c r="C71" s="151"/>
      <c r="D71" s="174">
        <v>7</v>
      </c>
      <c r="E71" s="173" t="s">
        <v>328</v>
      </c>
      <c r="H71" s="175">
        <v>656.43</v>
      </c>
      <c r="I71" s="175">
        <v>391.43</v>
      </c>
      <c r="J71" s="175">
        <f t="shared" si="4"/>
        <v>265</v>
      </c>
      <c r="L71" s="156"/>
      <c r="M71" s="156"/>
    </row>
    <row r="72" spans="1:13" x14ac:dyDescent="0.15">
      <c r="B72" s="151"/>
      <c r="C72" s="173"/>
      <c r="D72" s="174">
        <v>8</v>
      </c>
      <c r="E72" s="151" t="s">
        <v>336</v>
      </c>
      <c r="F72" s="151"/>
      <c r="G72" s="152"/>
      <c r="H72" s="176">
        <f>SUM(H65:H71)</f>
        <v>30415.46</v>
      </c>
      <c r="I72" s="176">
        <f t="shared" ref="I72:J72" si="5">SUM(I65:I71)</f>
        <v>26995.32</v>
      </c>
      <c r="J72" s="176">
        <f t="shared" si="5"/>
        <v>3420.1400000000003</v>
      </c>
      <c r="L72" s="156"/>
      <c r="M72" s="156"/>
    </row>
    <row r="73" spans="1:13" x14ac:dyDescent="0.15">
      <c r="A73" s="159"/>
      <c r="B73" s="173"/>
      <c r="C73" s="173"/>
      <c r="D73" s="151"/>
      <c r="E73" s="173"/>
      <c r="F73" s="173"/>
      <c r="G73" s="152"/>
      <c r="H73" s="178"/>
      <c r="I73" s="178"/>
      <c r="J73" s="178"/>
      <c r="L73" s="156"/>
      <c r="M73" s="156"/>
    </row>
    <row r="74" spans="1:13" x14ac:dyDescent="0.15">
      <c r="B74" s="151"/>
      <c r="C74" s="181"/>
      <c r="D74" s="181" t="s">
        <v>337</v>
      </c>
      <c r="E74" s="190"/>
      <c r="F74" s="190"/>
      <c r="G74" s="182"/>
      <c r="H74" s="176">
        <f>SUM(H62+H72)</f>
        <v>38362.07</v>
      </c>
      <c r="I74" s="176">
        <f>SUM(I62+I72)</f>
        <v>58401.130000000005</v>
      </c>
      <c r="J74" s="176">
        <f>SUM(J62+J72)</f>
        <v>-20039.060000000001</v>
      </c>
      <c r="L74" s="156"/>
      <c r="M74" s="156"/>
    </row>
    <row r="75" spans="1:13" s="159" customFormat="1" x14ac:dyDescent="0.15">
      <c r="A75" s="156"/>
      <c r="B75" s="173"/>
      <c r="C75" s="151"/>
      <c r="D75" s="173"/>
      <c r="E75" s="173"/>
      <c r="F75" s="173"/>
      <c r="G75" s="152"/>
      <c r="H75" s="178"/>
      <c r="I75" s="178"/>
      <c r="J75" s="178"/>
      <c r="K75" s="155"/>
    </row>
    <row r="76" spans="1:13" x14ac:dyDescent="0.15">
      <c r="B76" s="173"/>
      <c r="C76" s="181" t="s">
        <v>338</v>
      </c>
      <c r="D76" s="181"/>
      <c r="E76" s="198"/>
      <c r="F76" s="198"/>
      <c r="G76" s="199"/>
      <c r="H76" s="176">
        <f>H74</f>
        <v>38362.07</v>
      </c>
      <c r="I76" s="176">
        <f t="shared" ref="I76:J76" si="6">I74</f>
        <v>58401.130000000005</v>
      </c>
      <c r="J76" s="176">
        <f t="shared" si="6"/>
        <v>-20039.060000000001</v>
      </c>
      <c r="L76" s="156"/>
      <c r="M76" s="156"/>
    </row>
    <row r="77" spans="1:13" s="159" customFormat="1" x14ac:dyDescent="0.15">
      <c r="A77" s="156"/>
      <c r="B77" s="173"/>
      <c r="D77" s="151"/>
      <c r="E77" s="186"/>
      <c r="F77" s="186"/>
      <c r="G77" s="187"/>
      <c r="H77" s="178"/>
      <c r="I77" s="178"/>
      <c r="J77" s="178"/>
      <c r="K77" s="155"/>
    </row>
    <row r="78" spans="1:13" x14ac:dyDescent="0.15">
      <c r="B78" s="173"/>
      <c r="C78" s="151" t="s">
        <v>339</v>
      </c>
      <c r="D78" s="151"/>
      <c r="H78" s="183"/>
      <c r="I78" s="183"/>
      <c r="J78" s="183"/>
      <c r="L78" s="156"/>
      <c r="M78" s="156"/>
    </row>
    <row r="79" spans="1:13" x14ac:dyDescent="0.15">
      <c r="B79" s="173"/>
      <c r="C79" s="151"/>
      <c r="D79" s="174">
        <v>1</v>
      </c>
      <c r="E79" s="189" t="s">
        <v>340</v>
      </c>
      <c r="H79" s="183">
        <v>13894.42</v>
      </c>
      <c r="I79" s="183">
        <v>13894.42</v>
      </c>
      <c r="J79" s="183">
        <v>0</v>
      </c>
      <c r="L79" s="156"/>
      <c r="M79" s="156"/>
    </row>
    <row r="80" spans="1:13" x14ac:dyDescent="0.15">
      <c r="A80" s="159"/>
      <c r="B80" s="173"/>
      <c r="C80" s="173"/>
      <c r="D80" s="174">
        <v>2</v>
      </c>
      <c r="E80" s="173" t="s">
        <v>341</v>
      </c>
      <c r="F80" s="173"/>
      <c r="G80" s="152"/>
      <c r="H80" s="175">
        <v>5247975.82</v>
      </c>
      <c r="I80" s="175">
        <v>5248029.53</v>
      </c>
      <c r="J80" s="175">
        <f>ROUND((H80-I80),5)</f>
        <v>-53.71</v>
      </c>
      <c r="L80" s="156"/>
      <c r="M80" s="156"/>
    </row>
    <row r="81" spans="1:13" x14ac:dyDescent="0.15">
      <c r="B81" s="173"/>
      <c r="C81" s="151"/>
      <c r="D81" s="174">
        <v>3</v>
      </c>
      <c r="E81" s="173" t="s">
        <v>342</v>
      </c>
      <c r="F81" s="173"/>
      <c r="G81" s="152"/>
      <c r="H81" s="175">
        <v>1069405.94</v>
      </c>
      <c r="I81" s="175">
        <v>778708.24</v>
      </c>
      <c r="J81" s="175">
        <f>ROUND((H81-I81),5)</f>
        <v>290697.7</v>
      </c>
      <c r="L81" s="156"/>
      <c r="M81" s="156"/>
    </row>
    <row r="82" spans="1:13" s="159" customFormat="1" x14ac:dyDescent="0.15">
      <c r="B82" s="173"/>
      <c r="C82" s="151"/>
      <c r="D82" s="174">
        <v>4</v>
      </c>
      <c r="E82" s="173" t="s">
        <v>274</v>
      </c>
      <c r="F82" s="173"/>
      <c r="G82" s="152"/>
      <c r="H82" s="175">
        <v>191544.05</v>
      </c>
      <c r="I82" s="175">
        <v>0</v>
      </c>
      <c r="J82" s="175">
        <f>ROUND((H82-I82),5)</f>
        <v>191544.05</v>
      </c>
      <c r="K82" s="155"/>
    </row>
    <row r="83" spans="1:13" x14ac:dyDescent="0.15">
      <c r="B83" s="173"/>
      <c r="C83" s="181" t="s">
        <v>343</v>
      </c>
      <c r="D83" s="181"/>
      <c r="E83" s="181"/>
      <c r="F83" s="181"/>
      <c r="G83" s="182"/>
      <c r="H83" s="176">
        <f>SUM(H79:H82)</f>
        <v>6522820.2299999995</v>
      </c>
      <c r="I83" s="176">
        <f t="shared" ref="I83:J83" si="7">SUM(I79:I82)</f>
        <v>6040632.1900000004</v>
      </c>
      <c r="J83" s="176">
        <f t="shared" si="7"/>
        <v>482188.04</v>
      </c>
      <c r="L83" s="158"/>
      <c r="M83" s="171"/>
    </row>
    <row r="84" spans="1:13" x14ac:dyDescent="0.15">
      <c r="B84" s="173"/>
      <c r="C84" s="189"/>
      <c r="D84" s="173"/>
      <c r="H84" s="183"/>
      <c r="I84" s="183"/>
      <c r="J84" s="183"/>
    </row>
    <row r="85" spans="1:13" s="186" customFormat="1" x14ac:dyDescent="0.15">
      <c r="A85" s="156"/>
      <c r="B85" s="191" t="s">
        <v>344</v>
      </c>
      <c r="C85" s="201"/>
      <c r="D85" s="201"/>
      <c r="E85" s="191"/>
      <c r="F85" s="191"/>
      <c r="G85" s="202"/>
      <c r="H85" s="194">
        <f>SUM(H76+H83)</f>
        <v>6561182.2999999998</v>
      </c>
      <c r="I85" s="194">
        <f>SUM(I76+I83)</f>
        <v>6099033.3200000003</v>
      </c>
      <c r="J85" s="194">
        <f>SUM(J76+J83)</f>
        <v>462148.98</v>
      </c>
      <c r="K85" s="155"/>
      <c r="L85" s="156"/>
      <c r="M85" s="154"/>
    </row>
    <row r="86" spans="1:13" x14ac:dyDescent="0.15">
      <c r="A86" s="159"/>
      <c r="B86" s="173"/>
      <c r="C86" s="189"/>
      <c r="D86" s="189"/>
      <c r="E86" s="189"/>
      <c r="F86" s="189"/>
      <c r="H86" s="203">
        <f>H54-H85</f>
        <v>0</v>
      </c>
      <c r="I86" s="203">
        <f>I54-I85</f>
        <v>0</v>
      </c>
      <c r="J86" s="203">
        <f>J54-J85</f>
        <v>0</v>
      </c>
      <c r="L86" s="156"/>
      <c r="M86" s="156"/>
    </row>
    <row r="87" spans="1:13" x14ac:dyDescent="0.15">
      <c r="B87" s="151"/>
      <c r="C87" s="189"/>
      <c r="D87" s="189"/>
      <c r="E87" s="156"/>
      <c r="F87" s="189"/>
      <c r="L87" s="156"/>
      <c r="M87" s="156"/>
    </row>
    <row r="88" spans="1:13" x14ac:dyDescent="0.15">
      <c r="B88" s="173"/>
      <c r="C88" s="189"/>
      <c r="D88" s="189"/>
      <c r="E88" s="189"/>
      <c r="F88" s="189"/>
      <c r="L88" s="156"/>
      <c r="M88" s="156"/>
    </row>
    <row r="89" spans="1:13" x14ac:dyDescent="0.15">
      <c r="A89" s="186"/>
      <c r="C89" s="189"/>
      <c r="D89" s="189"/>
      <c r="E89" s="189"/>
      <c r="F89" s="189"/>
      <c r="L89" s="156"/>
      <c r="M89" s="156"/>
    </row>
    <row r="90" spans="1:13" x14ac:dyDescent="0.15">
      <c r="C90" s="189"/>
      <c r="D90" s="189"/>
      <c r="E90" s="189"/>
      <c r="F90" s="189"/>
      <c r="L90" s="156"/>
      <c r="M90" s="156"/>
    </row>
    <row r="91" spans="1:13" x14ac:dyDescent="0.15">
      <c r="B91" s="189"/>
      <c r="C91" s="189"/>
      <c r="D91" s="189"/>
      <c r="E91" s="189"/>
      <c r="F91" s="189"/>
      <c r="L91" s="158"/>
      <c r="M91" s="171"/>
    </row>
    <row r="92" spans="1:13" x14ac:dyDescent="0.15">
      <c r="B92" s="189"/>
      <c r="C92" s="189"/>
      <c r="D92" s="189"/>
      <c r="E92" s="189"/>
      <c r="F92" s="189"/>
      <c r="L92" s="158"/>
      <c r="M92" s="171"/>
    </row>
    <row r="93" spans="1:13" x14ac:dyDescent="0.15">
      <c r="B93" s="189"/>
      <c r="C93" s="189"/>
      <c r="D93" s="189"/>
      <c r="E93" s="189"/>
      <c r="F93" s="189"/>
      <c r="L93" s="158"/>
      <c r="M93" s="171"/>
    </row>
    <row r="94" spans="1:13" x14ac:dyDescent="0.15">
      <c r="B94" s="189"/>
      <c r="C94" s="189"/>
      <c r="D94" s="189"/>
      <c r="E94" s="189"/>
      <c r="F94" s="189"/>
      <c r="L94" s="158"/>
      <c r="M94" s="171"/>
    </row>
    <row r="95" spans="1:13" x14ac:dyDescent="0.15">
      <c r="B95" s="189"/>
      <c r="C95" s="189"/>
      <c r="D95" s="189"/>
      <c r="E95" s="189"/>
      <c r="F95" s="189"/>
      <c r="L95" s="158"/>
      <c r="M95" s="171"/>
    </row>
    <row r="96" spans="1:13" x14ac:dyDescent="0.15">
      <c r="B96" s="189"/>
      <c r="C96" s="189"/>
      <c r="D96" s="189"/>
      <c r="E96" s="189"/>
      <c r="F96" s="189"/>
      <c r="L96" s="158"/>
      <c r="M96" s="171"/>
    </row>
    <row r="97" spans="2:13" x14ac:dyDescent="0.15">
      <c r="B97" s="189"/>
      <c r="C97" s="189"/>
      <c r="D97" s="189"/>
      <c r="E97" s="189"/>
      <c r="F97" s="189"/>
      <c r="L97" s="158"/>
      <c r="M97" s="171"/>
    </row>
    <row r="98" spans="2:13" x14ac:dyDescent="0.15">
      <c r="B98" s="189"/>
      <c r="C98" s="189"/>
      <c r="D98" s="189"/>
      <c r="E98" s="189"/>
      <c r="F98" s="189"/>
      <c r="L98" s="158"/>
      <c r="M98" s="171"/>
    </row>
    <row r="99" spans="2:13" x14ac:dyDescent="0.15">
      <c r="B99" s="189"/>
      <c r="C99" s="189"/>
      <c r="D99" s="189"/>
      <c r="E99" s="189"/>
      <c r="F99" s="189"/>
    </row>
    <row r="100" spans="2:13" x14ac:dyDescent="0.15">
      <c r="B100" s="189"/>
      <c r="C100" s="189"/>
      <c r="D100" s="189"/>
      <c r="E100" s="189"/>
      <c r="F100" s="189"/>
    </row>
    <row r="101" spans="2:13" x14ac:dyDescent="0.15">
      <c r="B101" s="189"/>
      <c r="C101" s="189"/>
      <c r="D101" s="189"/>
      <c r="E101" s="189"/>
      <c r="F101" s="189"/>
    </row>
    <row r="102" spans="2:13" x14ac:dyDescent="0.15">
      <c r="B102" s="189"/>
      <c r="C102" s="189"/>
      <c r="D102" s="189"/>
      <c r="E102" s="189"/>
      <c r="F102" s="189"/>
    </row>
    <row r="103" spans="2:13" x14ac:dyDescent="0.15">
      <c r="B103" s="189"/>
      <c r="C103" s="189"/>
      <c r="D103" s="189"/>
      <c r="E103" s="189"/>
      <c r="F103" s="189"/>
    </row>
    <row r="104" spans="2:13" x14ac:dyDescent="0.15">
      <c r="B104" s="189"/>
      <c r="C104" s="189"/>
      <c r="D104" s="189"/>
      <c r="E104" s="189"/>
      <c r="F104" s="189"/>
    </row>
    <row r="105" spans="2:13" x14ac:dyDescent="0.15">
      <c r="B105" s="189"/>
      <c r="C105" s="189"/>
      <c r="D105" s="189"/>
      <c r="E105" s="189"/>
      <c r="F105" s="189"/>
    </row>
    <row r="106" spans="2:13" x14ac:dyDescent="0.15">
      <c r="B106" s="189"/>
      <c r="C106" s="189"/>
      <c r="D106" s="189"/>
      <c r="E106" s="189"/>
      <c r="F106" s="189"/>
    </row>
    <row r="107" spans="2:13" x14ac:dyDescent="0.15">
      <c r="B107" s="189"/>
      <c r="C107" s="189"/>
      <c r="D107" s="189"/>
      <c r="E107" s="189"/>
      <c r="F107" s="189"/>
    </row>
    <row r="108" spans="2:13" x14ac:dyDescent="0.15">
      <c r="B108" s="189"/>
      <c r="C108" s="189"/>
      <c r="D108" s="189"/>
      <c r="E108" s="189"/>
      <c r="F108" s="189"/>
    </row>
    <row r="109" spans="2:13" x14ac:dyDescent="0.15">
      <c r="B109" s="189"/>
    </row>
    <row r="110" spans="2:13" x14ac:dyDescent="0.15">
      <c r="B110" s="189"/>
    </row>
    <row r="111" spans="2:13" x14ac:dyDescent="0.15">
      <c r="B111" s="189"/>
    </row>
  </sheetData>
  <mergeCells count="1">
    <mergeCell ref="C3:D3"/>
  </mergeCells>
  <pageMargins left="0.65" right="0.7" top="0.5" bottom="0.5" header="0.4" footer="0.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834A-9571-4830-8F18-982FF45851A8}">
  <sheetPr>
    <tabColor rgb="FF7030A0"/>
  </sheetPr>
  <dimension ref="A1:P112"/>
  <sheetViews>
    <sheetView zoomScale="115" zoomScaleNormal="115" zoomScaleSheetLayoutView="115" workbookViewId="0">
      <selection activeCell="D18" sqref="D18"/>
    </sheetView>
  </sheetViews>
  <sheetFormatPr defaultColWidth="14.140625" defaultRowHeight="7.8" x14ac:dyDescent="0.15"/>
  <cols>
    <col min="1" max="1" width="2.7109375" style="187" customWidth="1"/>
    <col min="2" max="2" width="13.28515625" style="287" customWidth="1"/>
    <col min="3" max="3" width="10.5703125" style="356" customWidth="1"/>
    <col min="4" max="4" width="2.85546875" style="160" customWidth="1"/>
    <col min="5" max="5" width="10.42578125" style="289" customWidth="1"/>
    <col min="6" max="6" width="11.28515625" style="362" customWidth="1"/>
    <col min="7" max="7" width="1.7109375" style="156" customWidth="1"/>
    <col min="8" max="8" width="10.5703125" style="154" customWidth="1"/>
    <col min="9" max="9" width="6.140625" style="156" bestFit="1" customWidth="1"/>
    <col min="10" max="10" width="10" style="358" customWidth="1"/>
    <col min="11" max="11" width="9.5703125" style="154" customWidth="1"/>
    <col min="12" max="12" width="11.5703125" style="154" customWidth="1"/>
    <col min="13" max="13" width="11.85546875" style="359" bestFit="1" customWidth="1"/>
    <col min="14" max="14" width="10.28515625" style="360" customWidth="1"/>
    <col min="15" max="15" width="2.28515625" style="160" customWidth="1"/>
    <col min="16" max="16384" width="14.140625" style="156"/>
  </cols>
  <sheetData>
    <row r="1" spans="1:16" s="143" customFormat="1" x14ac:dyDescent="0.15">
      <c r="A1" s="135"/>
      <c r="B1" s="209" t="s">
        <v>0</v>
      </c>
      <c r="C1" s="210"/>
      <c r="D1" s="211"/>
      <c r="E1" s="212"/>
      <c r="F1" s="142"/>
      <c r="G1" s="141"/>
      <c r="H1" s="140"/>
      <c r="I1" s="213"/>
      <c r="J1" s="214"/>
      <c r="K1" s="139"/>
      <c r="L1" s="139"/>
      <c r="M1" s="141"/>
      <c r="N1" s="215"/>
      <c r="O1" s="142"/>
    </row>
    <row r="2" spans="1:16" s="678" customFormat="1" ht="12" x14ac:dyDescent="0.25">
      <c r="A2" s="668"/>
      <c r="B2" s="669" t="s">
        <v>345</v>
      </c>
      <c r="C2" s="670"/>
      <c r="D2" s="671"/>
      <c r="E2" s="672"/>
      <c r="F2" s="673"/>
      <c r="G2" s="673"/>
      <c r="H2" s="674"/>
      <c r="I2" s="675"/>
      <c r="J2" s="676"/>
      <c r="K2" s="674"/>
      <c r="L2" s="674"/>
      <c r="M2" s="673"/>
      <c r="N2" s="677"/>
      <c r="O2" s="673"/>
    </row>
    <row r="3" spans="1:16" s="103" customFormat="1" ht="10.199999999999999" x14ac:dyDescent="0.2">
      <c r="A3" s="148"/>
      <c r="B3" s="778">
        <v>45323</v>
      </c>
      <c r="C3" s="778"/>
      <c r="D3" s="769"/>
      <c r="E3" s="770"/>
      <c r="H3" s="100"/>
      <c r="I3" s="771"/>
      <c r="J3" s="772"/>
      <c r="K3" s="102"/>
      <c r="L3" s="102"/>
      <c r="M3" s="149"/>
      <c r="N3" s="773"/>
      <c r="O3" s="774"/>
    </row>
    <row r="6" spans="1:16" x14ac:dyDescent="0.15">
      <c r="B6" s="216"/>
      <c r="C6" s="217"/>
      <c r="D6" s="218"/>
      <c r="E6" s="219"/>
      <c r="F6" s="220"/>
      <c r="G6" s="159"/>
      <c r="H6" s="171"/>
      <c r="I6" s="158"/>
      <c r="J6" s="221"/>
      <c r="K6" s="208"/>
      <c r="L6" s="208"/>
      <c r="M6" s="222"/>
      <c r="N6" s="223"/>
    </row>
    <row r="7" spans="1:16" ht="10.199999999999999" x14ac:dyDescent="0.2">
      <c r="B7" s="224"/>
      <c r="C7" s="225"/>
      <c r="D7" s="226"/>
      <c r="E7" s="227"/>
      <c r="F7" s="227"/>
      <c r="G7" s="228"/>
      <c r="H7" s="229" t="s">
        <v>346</v>
      </c>
      <c r="I7" s="230"/>
      <c r="J7" s="231"/>
      <c r="K7" s="232"/>
      <c r="L7" s="232"/>
      <c r="M7" s="233"/>
      <c r="N7" s="234"/>
    </row>
    <row r="8" spans="1:16" s="160" customFormat="1" ht="23.4" x14ac:dyDescent="0.15">
      <c r="A8" s="187"/>
      <c r="B8" s="235" t="s">
        <v>347</v>
      </c>
      <c r="C8" s="236" t="s">
        <v>348</v>
      </c>
      <c r="D8" s="237"/>
      <c r="E8" s="238" t="s">
        <v>349</v>
      </c>
      <c r="F8" s="239" t="s">
        <v>350</v>
      </c>
      <c r="G8" s="240"/>
      <c r="H8" s="241" t="s">
        <v>351</v>
      </c>
      <c r="I8" s="242" t="s">
        <v>352</v>
      </c>
      <c r="J8" s="243" t="s">
        <v>353</v>
      </c>
      <c r="K8" s="244" t="s">
        <v>354</v>
      </c>
      <c r="L8" s="244" t="s">
        <v>355</v>
      </c>
      <c r="M8" s="240" t="s">
        <v>356</v>
      </c>
      <c r="N8" s="245" t="s">
        <v>357</v>
      </c>
      <c r="P8" s="156"/>
    </row>
    <row r="9" spans="1:16" x14ac:dyDescent="0.15">
      <c r="B9" s="246"/>
      <c r="C9" s="247"/>
      <c r="D9" s="248"/>
      <c r="E9" s="249"/>
      <c r="F9" s="250"/>
      <c r="G9" s="251"/>
      <c r="H9" s="252"/>
      <c r="I9" s="253"/>
      <c r="J9" s="254"/>
      <c r="K9" s="255"/>
      <c r="L9" s="255"/>
      <c r="M9" s="256"/>
      <c r="N9" s="257"/>
    </row>
    <row r="10" spans="1:16" ht="10.5" customHeight="1" x14ac:dyDescent="0.15">
      <c r="B10" s="246" t="s">
        <v>358</v>
      </c>
      <c r="C10" s="258" t="s">
        <v>359</v>
      </c>
      <c r="D10" s="259">
        <v>1</v>
      </c>
      <c r="E10" s="260" t="s">
        <v>360</v>
      </c>
      <c r="F10" s="261">
        <v>97312.97</v>
      </c>
      <c r="G10" s="262"/>
      <c r="H10" s="183">
        <v>100000</v>
      </c>
      <c r="I10" s="259" t="s">
        <v>361</v>
      </c>
      <c r="J10" s="263">
        <v>5.5530000000000003E-2</v>
      </c>
      <c r="K10" s="264">
        <v>2687.03</v>
      </c>
      <c r="L10" s="264">
        <v>447.84</v>
      </c>
      <c r="M10" s="265">
        <v>45379</v>
      </c>
      <c r="N10" s="266" t="s">
        <v>359</v>
      </c>
    </row>
    <row r="11" spans="1:16" x14ac:dyDescent="0.15">
      <c r="B11" s="246" t="s">
        <v>358</v>
      </c>
      <c r="C11" s="258" t="s">
        <v>362</v>
      </c>
      <c r="D11" s="259">
        <v>2</v>
      </c>
      <c r="E11" s="260" t="s">
        <v>360</v>
      </c>
      <c r="F11" s="261">
        <v>48656.49</v>
      </c>
      <c r="G11" s="262"/>
      <c r="H11" s="183">
        <v>50000</v>
      </c>
      <c r="I11" s="259" t="s">
        <v>361</v>
      </c>
      <c r="J11" s="263">
        <v>5.5530000000000003E-2</v>
      </c>
      <c r="K11" s="264">
        <v>1343.51</v>
      </c>
      <c r="L11" s="264">
        <v>223.92</v>
      </c>
      <c r="M11" s="265">
        <v>45379</v>
      </c>
      <c r="N11" s="266" t="s">
        <v>362</v>
      </c>
    </row>
    <row r="12" spans="1:16" x14ac:dyDescent="0.15">
      <c r="B12" s="246" t="s">
        <v>358</v>
      </c>
      <c r="C12" s="258" t="s">
        <v>363</v>
      </c>
      <c r="D12" s="259">
        <v>3</v>
      </c>
      <c r="E12" s="260" t="s">
        <v>360</v>
      </c>
      <c r="F12" s="261">
        <v>97350.89</v>
      </c>
      <c r="G12" s="262"/>
      <c r="H12" s="268">
        <v>100000</v>
      </c>
      <c r="I12" s="269" t="s">
        <v>361</v>
      </c>
      <c r="J12" s="270">
        <v>5.4719999999999998E-2</v>
      </c>
      <c r="K12" s="264">
        <v>2649.1100000000006</v>
      </c>
      <c r="L12" s="271">
        <f>K12/6</f>
        <v>441.51833333333343</v>
      </c>
      <c r="M12" s="265">
        <v>45442</v>
      </c>
      <c r="N12" s="266" t="s">
        <v>363</v>
      </c>
    </row>
    <row r="13" spans="1:16" x14ac:dyDescent="0.15">
      <c r="B13" s="246" t="s">
        <v>358</v>
      </c>
      <c r="C13" s="258" t="s">
        <v>364</v>
      </c>
      <c r="D13" s="259">
        <v>4</v>
      </c>
      <c r="E13" s="260" t="s">
        <v>360</v>
      </c>
      <c r="F13" s="261">
        <v>98261.28</v>
      </c>
      <c r="G13" s="262"/>
      <c r="H13" s="268">
        <v>100000</v>
      </c>
      <c r="I13" s="269" t="s">
        <v>365</v>
      </c>
      <c r="J13" s="270">
        <v>5.4420000000000003E-2</v>
      </c>
      <c r="K13" s="264">
        <v>1738.7200000000012</v>
      </c>
      <c r="L13" s="271">
        <f>K13/4</f>
        <v>434.68000000000029</v>
      </c>
      <c r="M13" s="265">
        <v>45377</v>
      </c>
      <c r="N13" s="266" t="s">
        <v>364</v>
      </c>
    </row>
    <row r="14" spans="1:16" x14ac:dyDescent="0.15">
      <c r="B14" s="246" t="s">
        <v>358</v>
      </c>
      <c r="C14" s="247" t="s">
        <v>366</v>
      </c>
      <c r="D14" s="248">
        <v>7</v>
      </c>
      <c r="E14" s="249" t="s">
        <v>366</v>
      </c>
      <c r="F14" s="272">
        <v>0</v>
      </c>
      <c r="G14" s="272"/>
      <c r="H14" s="273">
        <v>0</v>
      </c>
      <c r="I14" s="255" t="s">
        <v>366</v>
      </c>
      <c r="J14" s="255" t="s">
        <v>366</v>
      </c>
      <c r="K14" s="255" t="s">
        <v>366</v>
      </c>
      <c r="L14" s="255" t="s">
        <v>366</v>
      </c>
      <c r="M14" s="274" t="s">
        <v>366</v>
      </c>
      <c r="N14" s="257" t="s">
        <v>366</v>
      </c>
    </row>
    <row r="15" spans="1:16" x14ac:dyDescent="0.15">
      <c r="B15" s="246" t="s">
        <v>358</v>
      </c>
      <c r="C15" s="247" t="s">
        <v>366</v>
      </c>
      <c r="D15" s="248">
        <v>8</v>
      </c>
      <c r="E15" s="249" t="s">
        <v>366</v>
      </c>
      <c r="F15" s="272">
        <v>0</v>
      </c>
      <c r="G15" s="272"/>
      <c r="H15" s="273">
        <v>0</v>
      </c>
      <c r="I15" s="255" t="s">
        <v>366</v>
      </c>
      <c r="J15" s="255" t="s">
        <v>366</v>
      </c>
      <c r="K15" s="255" t="s">
        <v>366</v>
      </c>
      <c r="L15" s="255" t="s">
        <v>366</v>
      </c>
      <c r="M15" s="274" t="s">
        <v>366</v>
      </c>
      <c r="N15" s="257" t="s">
        <v>366</v>
      </c>
    </row>
    <row r="16" spans="1:16" x14ac:dyDescent="0.15">
      <c r="B16" s="275" t="s">
        <v>367</v>
      </c>
      <c r="C16" s="276"/>
      <c r="D16" s="277"/>
      <c r="E16" s="278"/>
      <c r="F16" s="279">
        <f>SUM(F10:F15)</f>
        <v>341581.63</v>
      </c>
      <c r="G16" s="280"/>
      <c r="H16" s="281">
        <f>SUM(H10:H15)</f>
        <v>350000</v>
      </c>
      <c r="I16" s="282"/>
      <c r="J16" s="283"/>
      <c r="K16" s="284">
        <f>SUM(K10:K15)</f>
        <v>8418.3700000000026</v>
      </c>
      <c r="L16" s="284">
        <f>SUM(L10:L15)</f>
        <v>1547.9583333333337</v>
      </c>
      <c r="M16" s="285"/>
      <c r="N16" s="286" t="s">
        <v>283</v>
      </c>
    </row>
    <row r="17" spans="1:16" x14ac:dyDescent="0.15">
      <c r="C17" s="288"/>
      <c r="D17" s="289"/>
      <c r="E17" s="290"/>
      <c r="F17" s="291"/>
      <c r="G17" s="292"/>
      <c r="H17" s="208"/>
      <c r="I17" s="293"/>
      <c r="J17" s="294"/>
      <c r="K17" s="169"/>
      <c r="L17" s="169"/>
      <c r="M17" s="295"/>
      <c r="N17" s="223"/>
    </row>
    <row r="18" spans="1:16" x14ac:dyDescent="0.15">
      <c r="C18" s="288"/>
      <c r="D18" s="289"/>
      <c r="E18" s="290"/>
      <c r="F18" s="291"/>
      <c r="G18" s="292"/>
      <c r="H18" s="208"/>
      <c r="I18" s="293"/>
      <c r="J18" s="294"/>
      <c r="K18" s="169"/>
      <c r="L18" s="169"/>
      <c r="M18" s="295"/>
      <c r="N18" s="223"/>
    </row>
    <row r="19" spans="1:16" s="160" customFormat="1" x14ac:dyDescent="0.15">
      <c r="A19" s="187"/>
      <c r="B19" s="287"/>
      <c r="C19" s="288"/>
      <c r="D19" s="289"/>
      <c r="E19" s="290"/>
      <c r="F19" s="291"/>
      <c r="G19" s="292"/>
      <c r="H19" s="208"/>
      <c r="I19" s="293"/>
      <c r="J19" s="294"/>
      <c r="K19" s="169"/>
      <c r="L19" s="169"/>
      <c r="M19" s="295"/>
      <c r="N19" s="223"/>
      <c r="O19" s="296"/>
      <c r="P19" s="156"/>
    </row>
    <row r="20" spans="1:16" ht="10.199999999999999" x14ac:dyDescent="0.2">
      <c r="B20" s="298"/>
      <c r="C20" s="299"/>
      <c r="D20" s="300"/>
      <c r="E20" s="227"/>
      <c r="F20" s="227"/>
      <c r="G20" s="227"/>
      <c r="H20" s="229" t="s">
        <v>368</v>
      </c>
      <c r="I20" s="230"/>
      <c r="J20" s="231"/>
      <c r="K20" s="232"/>
      <c r="L20" s="232"/>
      <c r="M20" s="233"/>
      <c r="N20" s="234"/>
      <c r="O20" s="297"/>
    </row>
    <row r="21" spans="1:16" ht="23.4" x14ac:dyDescent="0.15">
      <c r="B21" s="235" t="s">
        <v>347</v>
      </c>
      <c r="C21" s="236" t="s">
        <v>348</v>
      </c>
      <c r="D21" s="237"/>
      <c r="E21" s="238" t="s">
        <v>349</v>
      </c>
      <c r="F21" s="239" t="s">
        <v>369</v>
      </c>
      <c r="G21" s="240"/>
      <c r="H21" s="241"/>
      <c r="I21" s="242"/>
      <c r="J21" s="301" t="s">
        <v>353</v>
      </c>
      <c r="K21" s="241"/>
      <c r="L21" s="241" t="s">
        <v>370</v>
      </c>
      <c r="M21" s="240"/>
      <c r="N21" s="302" t="s">
        <v>371</v>
      </c>
      <c r="O21" s="293"/>
    </row>
    <row r="22" spans="1:16" ht="15.6" x14ac:dyDescent="0.15">
      <c r="B22" s="246" t="s">
        <v>358</v>
      </c>
      <c r="C22" s="247">
        <v>45351</v>
      </c>
      <c r="D22" s="303"/>
      <c r="E22" s="304" t="s">
        <v>372</v>
      </c>
      <c r="F22" s="305">
        <v>446214.92</v>
      </c>
      <c r="G22" s="306"/>
      <c r="H22" s="307"/>
      <c r="I22" s="308" t="s">
        <v>373</v>
      </c>
      <c r="J22" s="263">
        <v>1.5E-3</v>
      </c>
      <c r="K22" s="264"/>
      <c r="L22" s="264">
        <v>36.01</v>
      </c>
      <c r="M22" s="304"/>
      <c r="N22" s="309">
        <v>3136</v>
      </c>
      <c r="O22" s="293"/>
    </row>
    <row r="23" spans="1:16" x14ac:dyDescent="0.15">
      <c r="B23" s="275" t="s">
        <v>367</v>
      </c>
      <c r="C23" s="276"/>
      <c r="D23" s="277"/>
      <c r="E23" s="310"/>
      <c r="F23" s="311">
        <f>+F22</f>
        <v>446214.92</v>
      </c>
      <c r="G23" s="312"/>
      <c r="H23" s="313"/>
      <c r="I23" s="282"/>
      <c r="J23" s="314"/>
      <c r="K23" s="315"/>
      <c r="L23" s="315"/>
      <c r="M23" s="316"/>
      <c r="N23" s="317" t="s">
        <v>303</v>
      </c>
      <c r="O23" s="293"/>
    </row>
    <row r="24" spans="1:16" x14ac:dyDescent="0.15">
      <c r="B24" s="216"/>
      <c r="C24" s="318"/>
      <c r="D24" s="319"/>
      <c r="E24" s="320"/>
      <c r="F24" s="321"/>
      <c r="G24" s="320"/>
      <c r="H24" s="322"/>
      <c r="I24" s="320"/>
      <c r="J24" s="323"/>
      <c r="K24" s="322"/>
      <c r="L24" s="322"/>
      <c r="M24" s="320"/>
      <c r="N24" s="324"/>
      <c r="O24" s="293"/>
    </row>
    <row r="25" spans="1:16" x14ac:dyDescent="0.15">
      <c r="B25" s="216"/>
      <c r="C25" s="318"/>
      <c r="D25" s="319"/>
      <c r="E25" s="320"/>
      <c r="F25" s="321"/>
      <c r="G25" s="320"/>
      <c r="H25" s="322"/>
      <c r="I25" s="320"/>
      <c r="J25" s="323"/>
      <c r="K25" s="322"/>
      <c r="L25" s="322"/>
      <c r="M25" s="320"/>
      <c r="N25" s="324"/>
      <c r="O25" s="293"/>
    </row>
    <row r="26" spans="1:16" x14ac:dyDescent="0.15">
      <c r="B26" s="216"/>
      <c r="C26" s="318"/>
      <c r="D26" s="319"/>
      <c r="E26" s="320"/>
      <c r="F26" s="321"/>
      <c r="G26" s="320"/>
      <c r="H26" s="322"/>
      <c r="I26" s="320"/>
      <c r="J26" s="323"/>
      <c r="K26" s="322"/>
      <c r="L26" s="322"/>
      <c r="M26" s="320"/>
      <c r="N26" s="324"/>
      <c r="O26" s="293"/>
    </row>
    <row r="27" spans="1:16" ht="10.199999999999999" x14ac:dyDescent="0.2">
      <c r="B27" s="298"/>
      <c r="C27" s="299"/>
      <c r="D27" s="300"/>
      <c r="E27" s="325"/>
      <c r="F27" s="325"/>
      <c r="G27" s="228"/>
      <c r="H27" s="229" t="s">
        <v>374</v>
      </c>
      <c r="I27" s="325"/>
      <c r="J27" s="326"/>
      <c r="K27" s="327"/>
      <c r="L27" s="327"/>
      <c r="M27" s="328"/>
      <c r="N27" s="234"/>
      <c r="O27" s="293"/>
    </row>
    <row r="28" spans="1:16" ht="23.4" x14ac:dyDescent="0.15">
      <c r="B28" s="235" t="s">
        <v>347</v>
      </c>
      <c r="C28" s="236" t="s">
        <v>348</v>
      </c>
      <c r="D28" s="237"/>
      <c r="E28" s="238" t="s">
        <v>349</v>
      </c>
      <c r="F28" s="239" t="s">
        <v>369</v>
      </c>
      <c r="G28" s="240"/>
      <c r="H28" s="241"/>
      <c r="I28" s="242"/>
      <c r="J28" s="301" t="s">
        <v>353</v>
      </c>
      <c r="K28" s="241"/>
      <c r="L28" s="241" t="s">
        <v>370</v>
      </c>
      <c r="M28" s="240"/>
      <c r="N28" s="302" t="s">
        <v>371</v>
      </c>
      <c r="O28" s="293"/>
    </row>
    <row r="29" spans="1:16" x14ac:dyDescent="0.15">
      <c r="B29" s="246" t="s">
        <v>358</v>
      </c>
      <c r="C29" s="247">
        <f>C22</f>
        <v>45351</v>
      </c>
      <c r="D29" s="303"/>
      <c r="E29" s="329" t="s">
        <v>375</v>
      </c>
      <c r="F29" s="330">
        <v>60429.16</v>
      </c>
      <c r="G29" s="331"/>
      <c r="H29" s="332"/>
      <c r="I29" s="333" t="s">
        <v>373</v>
      </c>
      <c r="J29" s="334">
        <v>3.5000000000000001E-3</v>
      </c>
      <c r="K29" s="335"/>
      <c r="L29" s="335">
        <v>16.75</v>
      </c>
      <c r="M29" s="304"/>
      <c r="N29" s="336">
        <v>7446</v>
      </c>
      <c r="O29" s="293"/>
    </row>
    <row r="30" spans="1:16" s="159" customFormat="1" x14ac:dyDescent="0.15">
      <c r="A30" s="187"/>
      <c r="B30" s="275" t="s">
        <v>367</v>
      </c>
      <c r="C30" s="276"/>
      <c r="D30" s="277"/>
      <c r="E30" s="310"/>
      <c r="F30" s="311">
        <f>SUM(F24:F29)</f>
        <v>60429.16</v>
      </c>
      <c r="G30" s="312"/>
      <c r="H30" s="313"/>
      <c r="I30" s="282"/>
      <c r="J30" s="314"/>
      <c r="K30" s="315"/>
      <c r="L30" s="315"/>
      <c r="M30" s="316"/>
      <c r="N30" s="317" t="s">
        <v>301</v>
      </c>
      <c r="O30" s="293"/>
    </row>
    <row r="31" spans="1:16" s="159" customFormat="1" x14ac:dyDescent="0.15">
      <c r="A31" s="187"/>
      <c r="B31" s="287"/>
      <c r="C31" s="288"/>
      <c r="D31" s="289"/>
      <c r="E31" s="337"/>
      <c r="F31" s="338"/>
      <c r="G31" s="339"/>
      <c r="H31" s="340"/>
      <c r="I31" s="222"/>
      <c r="J31" s="341"/>
      <c r="K31" s="342"/>
      <c r="L31" s="342"/>
      <c r="M31" s="343"/>
      <c r="N31" s="344"/>
      <c r="O31" s="293"/>
    </row>
    <row r="32" spans="1:16" s="159" customFormat="1" x14ac:dyDescent="0.15">
      <c r="A32" s="187"/>
      <c r="B32" s="287"/>
      <c r="C32" s="288"/>
      <c r="D32" s="289"/>
      <c r="E32" s="337"/>
      <c r="F32" s="338"/>
      <c r="G32" s="339"/>
      <c r="H32" s="340"/>
      <c r="I32" s="222"/>
      <c r="J32" s="341"/>
      <c r="K32" s="342"/>
      <c r="L32" s="342"/>
      <c r="M32" s="343"/>
      <c r="N32" s="344"/>
      <c r="O32" s="293"/>
    </row>
    <row r="33" spans="1:15" s="159" customFormat="1" x14ac:dyDescent="0.15">
      <c r="A33" s="187"/>
      <c r="B33" s="287"/>
      <c r="C33" s="288"/>
      <c r="D33" s="289"/>
      <c r="E33" s="337"/>
      <c r="F33" s="338"/>
      <c r="G33" s="339"/>
      <c r="H33" s="340"/>
      <c r="I33" s="222"/>
      <c r="J33" s="341"/>
      <c r="K33" s="342"/>
      <c r="L33" s="342"/>
      <c r="M33" s="343"/>
      <c r="N33" s="344"/>
      <c r="O33" s="293"/>
    </row>
    <row r="34" spans="1:15" s="159" customFormat="1" ht="10.199999999999999" x14ac:dyDescent="0.2">
      <c r="A34" s="187"/>
      <c r="B34" s="298"/>
      <c r="C34" s="345"/>
      <c r="D34" s="346"/>
      <c r="E34" s="227"/>
      <c r="F34" s="227"/>
      <c r="G34" s="228"/>
      <c r="H34" s="229" t="s">
        <v>376</v>
      </c>
      <c r="I34" s="347"/>
      <c r="J34" s="348"/>
      <c r="K34" s="349"/>
      <c r="L34" s="349"/>
      <c r="M34" s="350"/>
      <c r="N34" s="351"/>
      <c r="O34" s="293"/>
    </row>
    <row r="35" spans="1:15" s="160" customFormat="1" ht="23.4" x14ac:dyDescent="0.15">
      <c r="A35" s="187"/>
      <c r="B35" s="235" t="s">
        <v>347</v>
      </c>
      <c r="C35" s="236" t="s">
        <v>348</v>
      </c>
      <c r="D35" s="237"/>
      <c r="E35" s="238" t="s">
        <v>349</v>
      </c>
      <c r="F35" s="239" t="s">
        <v>369</v>
      </c>
      <c r="G35" s="240"/>
      <c r="H35" s="241"/>
      <c r="I35" s="242"/>
      <c r="J35" s="301" t="s">
        <v>353</v>
      </c>
      <c r="K35" s="241"/>
      <c r="L35" s="241" t="s">
        <v>370</v>
      </c>
      <c r="M35" s="240"/>
      <c r="N35" s="302" t="s">
        <v>371</v>
      </c>
      <c r="O35" s="293"/>
    </row>
    <row r="36" spans="1:15" x14ac:dyDescent="0.15">
      <c r="B36" s="246" t="s">
        <v>358</v>
      </c>
      <c r="C36" s="247">
        <f>C29</f>
        <v>45351</v>
      </c>
      <c r="D36" s="303"/>
      <c r="E36" s="329" t="s">
        <v>375</v>
      </c>
      <c r="F36" s="330">
        <v>99197.36</v>
      </c>
      <c r="G36" s="331"/>
      <c r="H36" s="332"/>
      <c r="I36" s="333" t="s">
        <v>373</v>
      </c>
      <c r="J36" s="334">
        <v>1.4999999999999999E-2</v>
      </c>
      <c r="K36" s="335"/>
      <c r="L36" s="335">
        <v>116.96</v>
      </c>
      <c r="M36" s="304"/>
      <c r="N36" s="336">
        <v>7320</v>
      </c>
      <c r="O36" s="293"/>
    </row>
    <row r="37" spans="1:15" x14ac:dyDescent="0.15">
      <c r="B37" s="275" t="s">
        <v>367</v>
      </c>
      <c r="C37" s="276"/>
      <c r="D37" s="277"/>
      <c r="E37" s="310"/>
      <c r="F37" s="311">
        <f>F36</f>
        <v>99197.36</v>
      </c>
      <c r="G37" s="312"/>
      <c r="H37" s="313"/>
      <c r="I37" s="282"/>
      <c r="J37" s="352"/>
      <c r="K37" s="353"/>
      <c r="L37" s="353"/>
      <c r="M37" s="316"/>
      <c r="N37" s="317" t="s">
        <v>377</v>
      </c>
      <c r="O37" s="293"/>
    </row>
    <row r="38" spans="1:15" x14ac:dyDescent="0.15">
      <c r="F38" s="357">
        <f>SUM(F23+F30+F37)</f>
        <v>605841.43999999994</v>
      </c>
      <c r="O38" s="293"/>
    </row>
    <row r="39" spans="1:15" s="355" customFormat="1" ht="12.75" customHeight="1" x14ac:dyDescent="0.15">
      <c r="A39" s="187"/>
      <c r="B39" s="287"/>
      <c r="C39" s="356"/>
      <c r="D39" s="160"/>
      <c r="E39" s="289"/>
      <c r="F39" s="362"/>
      <c r="G39" s="156"/>
      <c r="H39" s="154"/>
      <c r="I39" s="156"/>
      <c r="J39" s="358"/>
      <c r="K39" s="154"/>
      <c r="L39" s="154"/>
      <c r="M39" s="359"/>
      <c r="N39" s="360"/>
      <c r="O39" s="354"/>
    </row>
    <row r="40" spans="1:15" s="355" customFormat="1" x14ac:dyDescent="0.15">
      <c r="A40" s="187"/>
      <c r="B40" s="287"/>
      <c r="C40" s="356"/>
      <c r="D40" s="160"/>
      <c r="E40" s="289"/>
      <c r="F40" s="362"/>
      <c r="G40" s="156"/>
      <c r="H40" s="154"/>
      <c r="I40" s="156"/>
      <c r="J40" s="358"/>
      <c r="K40" s="154"/>
      <c r="L40" s="154"/>
      <c r="M40" s="359"/>
      <c r="N40" s="360"/>
      <c r="O40" s="354"/>
    </row>
    <row r="41" spans="1:15" ht="10.199999999999999" x14ac:dyDescent="0.2">
      <c r="B41" s="298"/>
      <c r="C41" s="363"/>
      <c r="D41" s="364"/>
      <c r="E41" s="227"/>
      <c r="F41" s="227"/>
      <c r="G41" s="228"/>
      <c r="H41" s="229" t="s">
        <v>378</v>
      </c>
      <c r="I41" s="347"/>
      <c r="J41" s="348"/>
      <c r="K41" s="349"/>
      <c r="L41" s="349"/>
      <c r="M41" s="350"/>
      <c r="N41" s="351"/>
      <c r="O41" s="293"/>
    </row>
    <row r="42" spans="1:15" ht="23.4" x14ac:dyDescent="0.15">
      <c r="B42" s="235" t="s">
        <v>347</v>
      </c>
      <c r="C42" s="236" t="s">
        <v>348</v>
      </c>
      <c r="D42" s="365"/>
      <c r="E42" s="238" t="s">
        <v>349</v>
      </c>
      <c r="F42" s="239" t="s">
        <v>369</v>
      </c>
      <c r="G42" s="240"/>
      <c r="H42" s="241"/>
      <c r="I42" s="242"/>
      <c r="J42" s="301" t="s">
        <v>353</v>
      </c>
      <c r="K42" s="241"/>
      <c r="L42" s="241" t="s">
        <v>370</v>
      </c>
      <c r="M42" s="240"/>
      <c r="N42" s="302" t="s">
        <v>371</v>
      </c>
      <c r="O42" s="293"/>
    </row>
    <row r="43" spans="1:15" ht="15.6" x14ac:dyDescent="0.15">
      <c r="B43" s="246" t="s">
        <v>379</v>
      </c>
      <c r="C43" s="247">
        <f>C29</f>
        <v>45351</v>
      </c>
      <c r="D43" s="259"/>
      <c r="E43" s="329" t="s">
        <v>380</v>
      </c>
      <c r="F43" s="330">
        <v>250000</v>
      </c>
      <c r="G43" s="331"/>
      <c r="H43" s="332"/>
      <c r="I43" s="333" t="s">
        <v>373</v>
      </c>
      <c r="J43" s="334">
        <v>0</v>
      </c>
      <c r="K43" s="335"/>
      <c r="L43" s="335">
        <v>0</v>
      </c>
      <c r="M43" s="304"/>
      <c r="N43" s="336" t="s">
        <v>381</v>
      </c>
      <c r="O43" s="293"/>
    </row>
    <row r="44" spans="1:15" s="160" customFormat="1" ht="15.6" x14ac:dyDescent="0.15">
      <c r="A44" s="187"/>
      <c r="B44" s="246" t="s">
        <v>379</v>
      </c>
      <c r="C44" s="258"/>
      <c r="D44" s="259"/>
      <c r="E44" s="329" t="s">
        <v>382</v>
      </c>
      <c r="F44" s="330">
        <v>48258.21</v>
      </c>
      <c r="G44" s="331"/>
      <c r="H44" s="332"/>
      <c r="I44" s="366"/>
      <c r="J44" s="334">
        <v>0</v>
      </c>
      <c r="K44" s="335"/>
      <c r="L44" s="335">
        <v>38.21</v>
      </c>
      <c r="M44" s="304"/>
      <c r="N44" s="336" t="s">
        <v>383</v>
      </c>
      <c r="O44" s="293"/>
    </row>
    <row r="45" spans="1:15" s="160" customFormat="1" x14ac:dyDescent="0.15">
      <c r="A45" s="187"/>
      <c r="B45" s="367" t="s">
        <v>367</v>
      </c>
      <c r="C45" s="258"/>
      <c r="D45" s="259"/>
      <c r="E45" s="265"/>
      <c r="F45" s="368">
        <f>SUM(F43:F44)</f>
        <v>298258.21000000002</v>
      </c>
      <c r="G45" s="331"/>
      <c r="H45" s="369"/>
      <c r="I45" s="370"/>
      <c r="J45" s="371"/>
      <c r="K45" s="372"/>
      <c r="L45" s="372"/>
      <c r="M45" s="373"/>
      <c r="N45" s="374"/>
      <c r="O45" s="293"/>
    </row>
    <row r="46" spans="1:15" x14ac:dyDescent="0.15">
      <c r="B46" s="246"/>
      <c r="C46" s="258"/>
      <c r="D46" s="259"/>
      <c r="E46" s="375"/>
      <c r="F46" s="376"/>
      <c r="G46" s="377"/>
      <c r="H46" s="332"/>
      <c r="I46" s="366"/>
      <c r="J46" s="334"/>
      <c r="K46" s="335"/>
      <c r="L46" s="335"/>
      <c r="M46" s="304"/>
      <c r="N46" s="336"/>
      <c r="O46" s="293"/>
    </row>
    <row r="47" spans="1:15" x14ac:dyDescent="0.15">
      <c r="B47" s="378" t="s">
        <v>275</v>
      </c>
      <c r="C47" s="379"/>
      <c r="D47" s="380"/>
      <c r="E47" s="381" t="s">
        <v>384</v>
      </c>
      <c r="F47" s="382"/>
      <c r="G47" s="383"/>
      <c r="H47" s="384"/>
      <c r="I47" s="383"/>
      <c r="J47" s="385"/>
      <c r="K47" s="384"/>
      <c r="L47" s="384"/>
      <c r="M47" s="386"/>
      <c r="N47" s="387"/>
      <c r="O47" s="293"/>
    </row>
    <row r="48" spans="1:15" x14ac:dyDescent="0.15">
      <c r="E48" s="320"/>
      <c r="F48" s="388"/>
      <c r="G48" s="389"/>
      <c r="H48" s="390"/>
      <c r="I48" s="389"/>
      <c r="J48" s="391"/>
      <c r="K48" s="392"/>
      <c r="L48" s="393">
        <f>SUM(L22+L29+L36+L44)</f>
        <v>207.93</v>
      </c>
      <c r="N48" s="394"/>
      <c r="O48" s="293"/>
    </row>
    <row r="49" spans="1:15" x14ac:dyDescent="0.15">
      <c r="E49" s="320"/>
      <c r="F49" s="395"/>
      <c r="G49" s="396"/>
      <c r="H49" s="397"/>
      <c r="I49" s="396"/>
      <c r="J49" s="391"/>
      <c r="K49" s="171"/>
      <c r="N49" s="394"/>
      <c r="O49" s="293"/>
    </row>
    <row r="50" spans="1:15" ht="8.4" thickBot="1" x14ac:dyDescent="0.2">
      <c r="E50" s="320"/>
      <c r="F50" s="395"/>
      <c r="G50" s="396"/>
      <c r="H50" s="397"/>
      <c r="I50" s="396"/>
      <c r="J50" s="391"/>
      <c r="K50" s="171"/>
      <c r="L50" s="171"/>
      <c r="N50" s="394"/>
      <c r="O50" s="293"/>
    </row>
    <row r="51" spans="1:15" ht="10.199999999999999" x14ac:dyDescent="0.2">
      <c r="B51" s="398" t="s">
        <v>385</v>
      </c>
      <c r="C51" s="399"/>
      <c r="D51" s="400"/>
      <c r="E51" s="401"/>
      <c r="F51" s="402"/>
      <c r="G51" s="403"/>
      <c r="H51" s="404"/>
      <c r="O51" s="293"/>
    </row>
    <row r="52" spans="1:15" x14ac:dyDescent="0.15">
      <c r="B52" s="405"/>
      <c r="C52" s="406"/>
      <c r="D52" s="407"/>
      <c r="E52" s="408"/>
      <c r="F52" s="409"/>
      <c r="G52" s="410"/>
      <c r="H52" s="208"/>
      <c r="O52" s="293"/>
    </row>
    <row r="53" spans="1:15" x14ac:dyDescent="0.15">
      <c r="B53" s="411" t="s">
        <v>299</v>
      </c>
      <c r="C53" s="412"/>
      <c r="D53" s="413"/>
      <c r="E53" s="414"/>
      <c r="F53" s="415">
        <f>F16</f>
        <v>341581.63</v>
      </c>
      <c r="G53" s="416"/>
      <c r="H53" s="169"/>
      <c r="O53" s="293"/>
    </row>
    <row r="54" spans="1:15" x14ac:dyDescent="0.15">
      <c r="B54" s="411"/>
      <c r="C54" s="412"/>
      <c r="D54" s="413"/>
      <c r="E54" s="414"/>
      <c r="F54" s="417"/>
      <c r="G54" s="416"/>
      <c r="H54" s="169"/>
      <c r="O54" s="293"/>
    </row>
    <row r="55" spans="1:15" x14ac:dyDescent="0.15">
      <c r="B55" s="411" t="s">
        <v>386</v>
      </c>
      <c r="C55" s="412" t="s">
        <v>387</v>
      </c>
      <c r="D55" s="413"/>
      <c r="E55" s="414"/>
      <c r="F55" s="417">
        <f>SUM(F23+F30+F37)</f>
        <v>605841.43999999994</v>
      </c>
      <c r="G55" s="416"/>
      <c r="H55" s="169"/>
      <c r="O55" s="293"/>
    </row>
    <row r="56" spans="1:15" x14ac:dyDescent="0.15">
      <c r="B56" s="411" t="s">
        <v>388</v>
      </c>
      <c r="C56" s="412" t="s">
        <v>387</v>
      </c>
      <c r="D56" s="413"/>
      <c r="E56" s="414"/>
      <c r="F56" s="417">
        <f>F45</f>
        <v>298258.21000000002</v>
      </c>
      <c r="G56" s="416"/>
      <c r="H56" s="169"/>
      <c r="I56" s="159"/>
      <c r="J56" s="159"/>
      <c r="K56" s="159"/>
      <c r="L56" s="159"/>
      <c r="M56" s="159"/>
      <c r="N56" s="159"/>
      <c r="O56" s="293"/>
    </row>
    <row r="57" spans="1:15" x14ac:dyDescent="0.15">
      <c r="B57" s="411" t="s">
        <v>389</v>
      </c>
      <c r="C57" s="412"/>
      <c r="D57" s="413"/>
      <c r="E57" s="414"/>
      <c r="F57" s="415">
        <f>SUM(F55:F56)</f>
        <v>904099.64999999991</v>
      </c>
      <c r="G57" s="416"/>
      <c r="H57" s="169"/>
      <c r="O57" s="293"/>
    </row>
    <row r="58" spans="1:15" x14ac:dyDescent="0.15">
      <c r="B58" s="411"/>
      <c r="C58" s="412"/>
      <c r="D58" s="413"/>
      <c r="E58" s="414"/>
      <c r="F58" s="417"/>
      <c r="G58" s="416"/>
      <c r="H58" s="169"/>
      <c r="O58" s="293"/>
    </row>
    <row r="59" spans="1:15" s="159" customFormat="1" x14ac:dyDescent="0.15">
      <c r="A59" s="187"/>
      <c r="B59" s="418" t="s">
        <v>390</v>
      </c>
      <c r="C59" s="412"/>
      <c r="D59" s="413"/>
      <c r="E59" s="419"/>
      <c r="F59" s="415">
        <f>F53+F57</f>
        <v>1245681.2799999998</v>
      </c>
      <c r="G59" s="420"/>
      <c r="H59" s="208"/>
      <c r="I59" s="156"/>
      <c r="J59" s="358"/>
      <c r="K59" s="154"/>
      <c r="L59" s="154"/>
      <c r="M59" s="359"/>
      <c r="N59" s="360"/>
      <c r="O59" s="354"/>
    </row>
    <row r="60" spans="1:15" ht="10.8" thickBot="1" x14ac:dyDescent="0.25">
      <c r="B60" s="421"/>
      <c r="C60" s="422"/>
      <c r="D60" s="423"/>
      <c r="E60" s="424"/>
      <c r="F60" s="425"/>
      <c r="G60" s="426"/>
      <c r="H60" s="169"/>
      <c r="I60" s="427"/>
      <c r="J60" s="427"/>
      <c r="K60" s="427"/>
      <c r="L60" s="427"/>
      <c r="M60" s="427"/>
      <c r="N60" s="427"/>
      <c r="O60" s="293"/>
    </row>
    <row r="61" spans="1:15" ht="10.199999999999999" x14ac:dyDescent="0.2">
      <c r="A61" s="428"/>
      <c r="E61" s="320"/>
      <c r="F61" s="429">
        <f>SUM(F16+F23+F30+F37+F45)</f>
        <v>1245681.28</v>
      </c>
      <c r="G61" s="396"/>
      <c r="H61" s="397"/>
      <c r="O61" s="293"/>
    </row>
    <row r="62" spans="1:15" x14ac:dyDescent="0.15">
      <c r="E62" s="320"/>
      <c r="F62" s="388"/>
      <c r="G62" s="389"/>
      <c r="H62" s="390"/>
      <c r="O62" s="293"/>
    </row>
    <row r="63" spans="1:15" s="427" customFormat="1" ht="10.8" thickBot="1" x14ac:dyDescent="0.25">
      <c r="A63" s="187"/>
      <c r="B63" s="287"/>
      <c r="C63" s="356"/>
      <c r="D63" s="160"/>
      <c r="E63" s="320"/>
      <c r="F63" s="388"/>
      <c r="G63" s="389"/>
      <c r="H63" s="390"/>
      <c r="I63" s="156"/>
      <c r="J63" s="358"/>
      <c r="K63" s="154"/>
      <c r="L63" s="154"/>
      <c r="M63" s="359"/>
      <c r="N63" s="360"/>
      <c r="O63" s="428"/>
    </row>
    <row r="64" spans="1:15" ht="16.2" x14ac:dyDescent="0.2">
      <c r="B64" s="779" t="s">
        <v>391</v>
      </c>
      <c r="C64" s="780"/>
      <c r="D64" s="780"/>
      <c r="E64" s="781"/>
      <c r="F64" s="781"/>
      <c r="G64" s="782"/>
      <c r="H64" s="700" t="s">
        <v>371</v>
      </c>
      <c r="O64" s="293"/>
    </row>
    <row r="65" spans="1:15" x14ac:dyDescent="0.15">
      <c r="B65" s="430"/>
      <c r="C65" s="431"/>
      <c r="D65" s="432"/>
      <c r="E65" s="433"/>
      <c r="F65" s="433"/>
      <c r="G65" s="410"/>
      <c r="H65" s="158"/>
      <c r="O65" s="293"/>
    </row>
    <row r="66" spans="1:15" x14ac:dyDescent="0.15">
      <c r="B66" s="434" t="s">
        <v>28</v>
      </c>
      <c r="C66" s="412"/>
      <c r="D66" s="413"/>
      <c r="E66" s="435"/>
      <c r="F66" s="436">
        <v>321758.40000000002</v>
      </c>
      <c r="G66" s="437"/>
      <c r="H66" s="336" t="s">
        <v>662</v>
      </c>
      <c r="O66" s="293"/>
    </row>
    <row r="67" spans="1:15" x14ac:dyDescent="0.15">
      <c r="B67" s="439" t="s">
        <v>392</v>
      </c>
      <c r="C67" s="440"/>
      <c r="D67" s="441"/>
      <c r="E67" s="442"/>
      <c r="F67" s="436">
        <v>27350.89</v>
      </c>
      <c r="G67" s="443"/>
      <c r="H67" s="336" t="s">
        <v>663</v>
      </c>
      <c r="O67" s="293"/>
    </row>
    <row r="68" spans="1:15" x14ac:dyDescent="0.15">
      <c r="B68" s="439" t="s">
        <v>31</v>
      </c>
      <c r="C68" s="440"/>
      <c r="D68" s="441"/>
      <c r="E68" s="442"/>
      <c r="F68" s="436">
        <v>666.86</v>
      </c>
      <c r="G68" s="443"/>
      <c r="H68" s="336" t="s">
        <v>664</v>
      </c>
      <c r="O68" s="293"/>
    </row>
    <row r="69" spans="1:15" x14ac:dyDescent="0.15">
      <c r="B69" s="439" t="s">
        <v>393</v>
      </c>
      <c r="C69" s="440"/>
      <c r="D69" s="441"/>
      <c r="E69" s="442"/>
      <c r="F69" s="444">
        <f>SUM(F66:F68)</f>
        <v>349776.15</v>
      </c>
      <c r="G69" s="443"/>
      <c r="H69" s="438"/>
      <c r="I69" s="396"/>
      <c r="J69" s="391"/>
      <c r="K69" s="171"/>
      <c r="L69" s="171"/>
      <c r="N69" s="394"/>
      <c r="O69" s="293"/>
    </row>
    <row r="70" spans="1:15" ht="8.4" thickBot="1" x14ac:dyDescent="0.2">
      <c r="B70" s="445"/>
      <c r="C70" s="422"/>
      <c r="D70" s="423"/>
      <c r="E70" s="446"/>
      <c r="F70" s="447"/>
      <c r="G70" s="448"/>
      <c r="H70" s="438"/>
      <c r="I70" s="396"/>
      <c r="J70" s="391"/>
      <c r="K70" s="171"/>
      <c r="L70" s="171"/>
      <c r="N70" s="394"/>
      <c r="O70" s="293"/>
    </row>
    <row r="71" spans="1:15" x14ac:dyDescent="0.15">
      <c r="E71" s="320"/>
      <c r="F71" s="449">
        <f>F59+F69</f>
        <v>1595457.4299999997</v>
      </c>
      <c r="G71" s="388"/>
      <c r="H71" s="450"/>
      <c r="I71" s="396"/>
      <c r="J71" s="391"/>
      <c r="K71" s="171"/>
      <c r="L71" s="171"/>
      <c r="N71" s="394"/>
      <c r="O71" s="293"/>
    </row>
    <row r="72" spans="1:15" s="159" customFormat="1" x14ac:dyDescent="0.15">
      <c r="A72" s="187"/>
      <c r="B72" s="319"/>
      <c r="C72" s="217"/>
      <c r="D72" s="218"/>
      <c r="E72" s="454"/>
      <c r="F72" s="701"/>
      <c r="G72" s="456"/>
      <c r="H72" s="438"/>
      <c r="I72" s="396"/>
      <c r="J72" s="391"/>
      <c r="L72" s="171"/>
      <c r="M72" s="359"/>
      <c r="N72" s="394"/>
      <c r="O72" s="293"/>
    </row>
    <row r="73" spans="1:15" s="159" customFormat="1" x14ac:dyDescent="0.15">
      <c r="A73" s="187"/>
      <c r="B73" s="287"/>
      <c r="C73" s="356"/>
      <c r="D73" s="160"/>
      <c r="E73" s="320"/>
      <c r="F73" s="702"/>
      <c r="G73" s="703"/>
      <c r="H73" s="450"/>
      <c r="I73" s="396"/>
      <c r="J73" s="391"/>
      <c r="K73" s="171"/>
      <c r="L73" s="171"/>
      <c r="M73" s="359"/>
      <c r="N73" s="394"/>
      <c r="O73" s="293"/>
    </row>
    <row r="74" spans="1:15" s="159" customFormat="1" x14ac:dyDescent="0.15">
      <c r="A74" s="187"/>
      <c r="B74" s="287"/>
      <c r="C74" s="356"/>
      <c r="D74" s="160"/>
      <c r="E74" s="320"/>
      <c r="F74" s="388"/>
      <c r="G74" s="389"/>
      <c r="H74" s="390"/>
      <c r="I74" s="389"/>
      <c r="J74" s="358"/>
      <c r="K74" s="154"/>
      <c r="L74" s="154"/>
      <c r="M74" s="359"/>
      <c r="N74" s="360"/>
      <c r="O74" s="293"/>
    </row>
    <row r="75" spans="1:15" s="159" customFormat="1" x14ac:dyDescent="0.15">
      <c r="A75" s="187"/>
      <c r="B75" s="287"/>
      <c r="C75" s="356"/>
      <c r="D75" s="160"/>
      <c r="E75" s="289"/>
      <c r="F75" s="362"/>
      <c r="G75" s="156"/>
      <c r="H75" s="390"/>
      <c r="I75" s="389"/>
      <c r="J75" s="391"/>
      <c r="K75" s="171"/>
      <c r="L75" s="171"/>
      <c r="N75" s="451"/>
      <c r="O75" s="293"/>
    </row>
    <row r="76" spans="1:15" s="159" customFormat="1" x14ac:dyDescent="0.15">
      <c r="A76" s="187"/>
      <c r="B76" s="287"/>
      <c r="C76" s="356"/>
      <c r="D76" s="160"/>
      <c r="E76" s="289"/>
      <c r="F76" s="362"/>
      <c r="G76" s="156"/>
      <c r="H76" s="390"/>
      <c r="I76" s="389"/>
      <c r="J76" s="391"/>
      <c r="K76" s="171"/>
      <c r="L76" s="171"/>
      <c r="N76" s="451"/>
      <c r="O76" s="293"/>
    </row>
    <row r="77" spans="1:15" s="159" customFormat="1" x14ac:dyDescent="0.15">
      <c r="A77" s="187"/>
      <c r="B77" s="287"/>
      <c r="C77" s="356"/>
      <c r="D77" s="160"/>
      <c r="E77" s="289"/>
      <c r="F77" s="362"/>
      <c r="G77" s="156"/>
      <c r="H77" s="390"/>
      <c r="I77" s="389"/>
      <c r="J77" s="391"/>
      <c r="K77" s="171"/>
      <c r="L77" s="171"/>
      <c r="N77" s="451"/>
      <c r="O77" s="293"/>
    </row>
    <row r="78" spans="1:15" s="159" customFormat="1" x14ac:dyDescent="0.15">
      <c r="A78" s="187"/>
      <c r="B78" s="287"/>
      <c r="C78" s="356"/>
      <c r="D78" s="160"/>
      <c r="E78" s="289"/>
      <c r="F78" s="362"/>
      <c r="G78" s="156"/>
      <c r="H78" s="390"/>
      <c r="I78" s="389"/>
      <c r="J78" s="391"/>
      <c r="K78" s="171"/>
      <c r="L78" s="171"/>
      <c r="N78" s="451"/>
      <c r="O78" s="293"/>
    </row>
    <row r="79" spans="1:15" x14ac:dyDescent="0.15">
      <c r="H79" s="390"/>
      <c r="I79" s="389"/>
      <c r="J79" s="391"/>
      <c r="K79" s="171"/>
      <c r="L79" s="171"/>
      <c r="M79" s="159"/>
      <c r="N79" s="451"/>
      <c r="O79" s="293"/>
    </row>
    <row r="80" spans="1:15" x14ac:dyDescent="0.15">
      <c r="B80" s="159"/>
      <c r="C80" s="159"/>
      <c r="D80" s="156"/>
      <c r="E80" s="159"/>
      <c r="F80" s="159"/>
      <c r="G80" s="159"/>
      <c r="H80" s="390"/>
      <c r="I80" s="389"/>
      <c r="J80" s="391"/>
      <c r="K80" s="171"/>
      <c r="L80" s="171"/>
      <c r="M80" s="159"/>
      <c r="N80" s="451"/>
      <c r="O80" s="293"/>
    </row>
    <row r="81" spans="1:15" x14ac:dyDescent="0.15">
      <c r="H81" s="390"/>
      <c r="I81" s="389"/>
      <c r="J81" s="391"/>
      <c r="K81" s="171"/>
      <c r="L81" s="171"/>
      <c r="M81" s="159"/>
      <c r="N81" s="451"/>
      <c r="O81" s="293"/>
    </row>
    <row r="82" spans="1:15" x14ac:dyDescent="0.15">
      <c r="H82" s="390"/>
      <c r="I82" s="389"/>
      <c r="J82" s="391"/>
      <c r="K82" s="171"/>
      <c r="L82" s="171"/>
      <c r="M82" s="159"/>
      <c r="N82" s="451"/>
      <c r="O82" s="293"/>
    </row>
    <row r="83" spans="1:15" x14ac:dyDescent="0.15">
      <c r="H83" s="390"/>
      <c r="I83" s="389"/>
      <c r="O83" s="293"/>
    </row>
    <row r="84" spans="1:15" x14ac:dyDescent="0.15">
      <c r="B84" s="159"/>
      <c r="C84" s="159"/>
      <c r="D84" s="156"/>
      <c r="E84" s="159"/>
      <c r="F84" s="159"/>
      <c r="G84" s="159"/>
      <c r="H84" s="390"/>
      <c r="I84" s="389"/>
      <c r="O84" s="293"/>
    </row>
    <row r="85" spans="1:15" s="159" customFormat="1" x14ac:dyDescent="0.15">
      <c r="A85" s="187"/>
      <c r="B85" s="287"/>
      <c r="C85" s="356"/>
      <c r="D85" s="160"/>
      <c r="E85" s="320"/>
      <c r="F85" s="388"/>
      <c r="G85" s="389"/>
      <c r="H85" s="390"/>
      <c r="I85" s="389"/>
      <c r="J85" s="358"/>
      <c r="K85" s="154"/>
      <c r="L85" s="154"/>
      <c r="M85" s="359"/>
      <c r="N85" s="360"/>
      <c r="O85" s="293"/>
    </row>
    <row r="86" spans="1:15" x14ac:dyDescent="0.15">
      <c r="E86" s="320"/>
      <c r="F86" s="388"/>
      <c r="G86" s="389"/>
      <c r="H86" s="390"/>
      <c r="I86" s="389"/>
      <c r="O86" s="293"/>
    </row>
    <row r="87" spans="1:15" x14ac:dyDescent="0.15">
      <c r="E87" s="320"/>
      <c r="F87" s="388"/>
      <c r="G87" s="452"/>
      <c r="H87" s="390"/>
      <c r="I87" s="389"/>
      <c r="O87" s="293"/>
    </row>
    <row r="88" spans="1:15" x14ac:dyDescent="0.15">
      <c r="B88" s="320"/>
      <c r="C88" s="217"/>
      <c r="D88" s="218"/>
      <c r="E88" s="320"/>
      <c r="F88" s="453"/>
      <c r="G88" s="452"/>
      <c r="H88" s="390"/>
      <c r="I88" s="389"/>
      <c r="J88" s="391"/>
      <c r="K88" s="171"/>
      <c r="L88" s="171"/>
      <c r="M88" s="159"/>
      <c r="N88" s="451"/>
      <c r="O88" s="293"/>
    </row>
    <row r="89" spans="1:15" s="159" customFormat="1" x14ac:dyDescent="0.15">
      <c r="A89" s="187"/>
      <c r="B89" s="320"/>
      <c r="C89" s="217"/>
      <c r="D89" s="218"/>
      <c r="E89" s="320"/>
      <c r="F89" s="453"/>
      <c r="G89" s="156"/>
      <c r="H89" s="361"/>
      <c r="I89" s="389"/>
      <c r="J89" s="358"/>
      <c r="K89" s="154"/>
      <c r="L89" s="154"/>
      <c r="M89" s="359"/>
      <c r="N89" s="360"/>
      <c r="O89" s="354"/>
    </row>
    <row r="90" spans="1:15" s="159" customFormat="1" x14ac:dyDescent="0.15">
      <c r="A90" s="187"/>
      <c r="B90" s="287"/>
      <c r="C90" s="356"/>
      <c r="D90" s="160"/>
      <c r="E90" s="289"/>
      <c r="F90" s="362"/>
      <c r="G90" s="156"/>
      <c r="H90" s="361"/>
      <c r="J90" s="358"/>
      <c r="K90" s="154"/>
      <c r="L90" s="154"/>
      <c r="M90" s="359"/>
      <c r="N90" s="360"/>
      <c r="O90" s="354"/>
    </row>
    <row r="91" spans="1:15" s="159" customFormat="1" x14ac:dyDescent="0.15">
      <c r="A91" s="187"/>
      <c r="B91" s="287"/>
      <c r="C91" s="356"/>
      <c r="D91" s="160"/>
      <c r="E91" s="289"/>
      <c r="F91" s="362"/>
      <c r="H91" s="154"/>
      <c r="I91" s="389"/>
      <c r="J91" s="358"/>
      <c r="K91" s="154"/>
      <c r="L91" s="154"/>
      <c r="M91" s="359"/>
      <c r="N91" s="360"/>
      <c r="O91" s="354"/>
    </row>
    <row r="92" spans="1:15" s="159" customFormat="1" x14ac:dyDescent="0.15">
      <c r="A92" s="187"/>
      <c r="B92" s="454"/>
      <c r="C92" s="455"/>
      <c r="D92" s="156"/>
      <c r="E92" s="454"/>
      <c r="G92" s="156"/>
      <c r="H92" s="154"/>
      <c r="I92" s="339"/>
      <c r="J92" s="391"/>
      <c r="K92" s="171"/>
      <c r="L92" s="171"/>
      <c r="N92" s="451"/>
      <c r="O92" s="354"/>
    </row>
    <row r="93" spans="1:15" x14ac:dyDescent="0.15">
      <c r="H93" s="171"/>
      <c r="I93" s="339"/>
      <c r="J93" s="391"/>
      <c r="K93" s="171"/>
      <c r="L93" s="171"/>
      <c r="M93" s="159"/>
      <c r="N93" s="451"/>
      <c r="O93" s="293"/>
    </row>
    <row r="94" spans="1:15" x14ac:dyDescent="0.15">
      <c r="I94" s="339"/>
      <c r="J94" s="391"/>
      <c r="K94" s="171"/>
      <c r="L94" s="171"/>
      <c r="M94" s="159"/>
      <c r="N94" s="451"/>
      <c r="O94" s="293"/>
    </row>
    <row r="95" spans="1:15" x14ac:dyDescent="0.15">
      <c r="I95" s="339"/>
      <c r="J95" s="391"/>
      <c r="K95" s="171"/>
      <c r="L95" s="171"/>
      <c r="M95" s="159"/>
      <c r="N95" s="451"/>
      <c r="O95" s="293"/>
    </row>
    <row r="96" spans="1:15" x14ac:dyDescent="0.15">
      <c r="G96" s="159"/>
      <c r="I96" s="389"/>
      <c r="O96" s="293"/>
    </row>
    <row r="97" spans="1:15" x14ac:dyDescent="0.15">
      <c r="B97" s="454"/>
      <c r="C97" s="455"/>
      <c r="D97" s="156"/>
      <c r="E97" s="454"/>
      <c r="F97" s="159"/>
      <c r="G97" s="159"/>
      <c r="I97" s="389"/>
      <c r="O97" s="158"/>
    </row>
    <row r="98" spans="1:15" x14ac:dyDescent="0.15">
      <c r="B98" s="454"/>
      <c r="C98" s="455"/>
      <c r="D98" s="156"/>
      <c r="E98" s="454"/>
      <c r="F98" s="159"/>
      <c r="G98" s="159"/>
      <c r="H98" s="171"/>
      <c r="I98" s="389"/>
    </row>
    <row r="99" spans="1:15" x14ac:dyDescent="0.15">
      <c r="B99" s="454"/>
      <c r="C99" s="455"/>
      <c r="D99" s="156"/>
      <c r="E99" s="454"/>
      <c r="F99" s="159"/>
      <c r="G99" s="456"/>
      <c r="H99" s="171"/>
      <c r="I99" s="389"/>
    </row>
    <row r="100" spans="1:15" s="159" customFormat="1" x14ac:dyDescent="0.15">
      <c r="A100" s="187"/>
      <c r="B100" s="320"/>
      <c r="C100" s="318"/>
      <c r="D100" s="319"/>
      <c r="E100" s="289"/>
      <c r="F100" s="456"/>
      <c r="G100" s="456"/>
      <c r="H100" s="171"/>
      <c r="I100" s="156"/>
      <c r="J100" s="358"/>
      <c r="K100" s="154"/>
      <c r="L100" s="154"/>
      <c r="M100" s="359"/>
      <c r="N100" s="360"/>
      <c r="O100" s="158"/>
    </row>
    <row r="101" spans="1:15" x14ac:dyDescent="0.15">
      <c r="B101" s="320"/>
      <c r="C101" s="318"/>
      <c r="D101" s="319"/>
      <c r="F101" s="456"/>
      <c r="G101" s="456"/>
      <c r="H101" s="450"/>
    </row>
    <row r="102" spans="1:15" x14ac:dyDescent="0.15">
      <c r="B102" s="320"/>
      <c r="C102" s="318"/>
      <c r="D102" s="319"/>
      <c r="F102" s="456"/>
      <c r="G102" s="456"/>
      <c r="H102" s="450"/>
    </row>
    <row r="103" spans="1:15" x14ac:dyDescent="0.15">
      <c r="B103" s="320"/>
      <c r="C103" s="318"/>
      <c r="D103" s="319"/>
      <c r="F103" s="456"/>
      <c r="G103" s="456"/>
      <c r="H103" s="450"/>
      <c r="I103" s="159"/>
      <c r="J103" s="391"/>
      <c r="K103" s="171"/>
      <c r="L103" s="171"/>
      <c r="M103" s="159"/>
      <c r="N103" s="451"/>
    </row>
    <row r="104" spans="1:15" x14ac:dyDescent="0.15">
      <c r="B104" s="320"/>
      <c r="C104" s="318"/>
      <c r="D104" s="319"/>
      <c r="F104" s="456"/>
      <c r="G104" s="456"/>
      <c r="H104" s="450"/>
      <c r="O104" s="158"/>
    </row>
    <row r="105" spans="1:15" s="159" customFormat="1" x14ac:dyDescent="0.15">
      <c r="A105" s="187"/>
      <c r="B105" s="320"/>
      <c r="C105" s="318"/>
      <c r="D105" s="319"/>
      <c r="E105" s="289"/>
      <c r="F105" s="456"/>
      <c r="G105" s="456"/>
      <c r="H105" s="450"/>
      <c r="I105" s="156"/>
      <c r="J105" s="358"/>
      <c r="K105" s="154"/>
      <c r="L105" s="154"/>
      <c r="M105" s="359"/>
      <c r="N105" s="360"/>
      <c r="O105" s="160"/>
    </row>
    <row r="106" spans="1:15" s="159" customFormat="1" x14ac:dyDescent="0.15">
      <c r="A106" s="187"/>
      <c r="B106" s="320"/>
      <c r="C106" s="318"/>
      <c r="D106" s="319"/>
      <c r="E106" s="289"/>
      <c r="F106" s="456"/>
      <c r="G106" s="456"/>
      <c r="H106" s="450"/>
      <c r="I106" s="156"/>
      <c r="J106" s="358"/>
      <c r="K106" s="154"/>
      <c r="L106" s="154"/>
      <c r="M106" s="359"/>
      <c r="N106" s="360"/>
      <c r="O106" s="160"/>
    </row>
    <row r="107" spans="1:15" x14ac:dyDescent="0.15">
      <c r="B107" s="320"/>
      <c r="C107" s="318"/>
      <c r="D107" s="319"/>
      <c r="F107" s="456"/>
      <c r="G107" s="456"/>
      <c r="H107" s="450"/>
      <c r="O107" s="293"/>
    </row>
    <row r="108" spans="1:15" x14ac:dyDescent="0.15">
      <c r="B108" s="320"/>
      <c r="C108" s="318"/>
      <c r="D108" s="319"/>
      <c r="F108" s="456"/>
      <c r="H108" s="450"/>
      <c r="J108" s="391"/>
      <c r="K108" s="171"/>
      <c r="L108" s="171"/>
      <c r="M108" s="159"/>
      <c r="N108" s="451"/>
      <c r="O108" s="158"/>
    </row>
    <row r="109" spans="1:15" s="159" customFormat="1" x14ac:dyDescent="0.15">
      <c r="A109" s="187"/>
      <c r="B109" s="287"/>
      <c r="C109" s="356"/>
      <c r="D109" s="160"/>
      <c r="E109" s="289"/>
      <c r="F109" s="362"/>
      <c r="G109" s="156"/>
      <c r="H109" s="450"/>
      <c r="I109" s="156"/>
      <c r="J109" s="358"/>
      <c r="K109" s="154"/>
      <c r="L109" s="154"/>
      <c r="M109" s="156"/>
      <c r="N109" s="451"/>
      <c r="O109" s="160"/>
    </row>
    <row r="110" spans="1:15" x14ac:dyDescent="0.15">
      <c r="M110" s="156"/>
      <c r="N110" s="451"/>
    </row>
    <row r="112" spans="1:15" x14ac:dyDescent="0.15">
      <c r="J112" s="391"/>
      <c r="K112" s="171"/>
      <c r="L112" s="171"/>
      <c r="M112" s="159"/>
      <c r="N112" s="451"/>
    </row>
  </sheetData>
  <mergeCells count="2">
    <mergeCell ref="B3:C3"/>
    <mergeCell ref="B64:G64"/>
  </mergeCells>
  <pageMargins left="0.3" right="0.3" top="0.6" bottom="0.4" header="0.3" footer="0.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5CD6-0E3C-48D3-96C2-746E0DCF313B}">
  <sheetPr codeName="Sheet6">
    <tabColor rgb="FF7030A0"/>
  </sheetPr>
  <dimension ref="A1:K87"/>
  <sheetViews>
    <sheetView zoomScale="130" zoomScaleNormal="130" zoomScaleSheetLayoutView="145" workbookViewId="0">
      <selection activeCell="D18" sqref="D18"/>
    </sheetView>
  </sheetViews>
  <sheetFormatPr defaultColWidth="17.28515625" defaultRowHeight="7.8" x14ac:dyDescent="0.15"/>
  <cols>
    <col min="1" max="1" width="2.42578125" style="157" customWidth="1"/>
    <col min="2" max="2" width="12.42578125" style="538" customWidth="1"/>
    <col min="3" max="3" width="3.85546875" style="158" customWidth="1"/>
    <col min="4" max="4" width="44.28515625" style="539" customWidth="1"/>
    <col min="5" max="5" width="10.85546875" style="540" customWidth="1"/>
    <col min="6" max="6" width="12" style="541" customWidth="1"/>
    <col min="7" max="7" width="14.42578125" style="542" customWidth="1"/>
    <col min="8" max="8" width="15.5703125" style="541" customWidth="1"/>
    <col min="9" max="9" width="2.85546875" style="471" customWidth="1"/>
    <col min="10" max="10" width="8.42578125" style="471" customWidth="1"/>
    <col min="11" max="16384" width="17.28515625" style="156"/>
  </cols>
  <sheetData>
    <row r="1" spans="1:11" s="143" customFormat="1" x14ac:dyDescent="0.15">
      <c r="A1" s="457"/>
      <c r="B1" s="458"/>
      <c r="C1" s="93"/>
      <c r="D1" s="136" t="s">
        <v>0</v>
      </c>
      <c r="E1" s="459"/>
      <c r="F1" s="460"/>
      <c r="G1" s="461"/>
      <c r="H1" s="460"/>
      <c r="I1" s="92"/>
      <c r="J1" s="92"/>
    </row>
    <row r="2" spans="1:11" s="98" customFormat="1" ht="12" x14ac:dyDescent="0.25">
      <c r="A2" s="462"/>
      <c r="B2" s="463"/>
      <c r="D2" s="94" t="s">
        <v>661</v>
      </c>
    </row>
    <row r="3" spans="1:11" s="103" customFormat="1" ht="10.199999999999999" x14ac:dyDescent="0.2">
      <c r="A3" s="464"/>
      <c r="B3" s="465"/>
      <c r="D3" s="99">
        <v>45323</v>
      </c>
      <c r="E3" s="466"/>
      <c r="F3" s="99"/>
      <c r="G3" s="99"/>
      <c r="H3" s="99"/>
      <c r="I3" s="99"/>
      <c r="J3" s="99"/>
      <c r="K3" s="99"/>
    </row>
    <row r="6" spans="1:11" ht="16.2" x14ac:dyDescent="0.2">
      <c r="B6" s="467"/>
      <c r="C6" s="467"/>
      <c r="D6" s="468" t="s">
        <v>394</v>
      </c>
      <c r="E6" s="469"/>
      <c r="F6" s="470" t="s">
        <v>395</v>
      </c>
      <c r="G6" s="470" t="s">
        <v>396</v>
      </c>
      <c r="H6" s="470" t="s">
        <v>397</v>
      </c>
    </row>
    <row r="7" spans="1:11" x14ac:dyDescent="0.15">
      <c r="B7" s="472"/>
      <c r="C7" s="472"/>
      <c r="D7" s="473"/>
      <c r="E7" s="474"/>
      <c r="F7" s="475"/>
      <c r="G7" s="475"/>
      <c r="H7" s="476"/>
    </row>
    <row r="8" spans="1:11" x14ac:dyDescent="0.15">
      <c r="B8" s="472" t="s">
        <v>398</v>
      </c>
      <c r="C8" s="472"/>
      <c r="D8" s="473" t="s">
        <v>399</v>
      </c>
      <c r="E8" s="474" t="s">
        <v>400</v>
      </c>
      <c r="F8" s="475">
        <v>10000</v>
      </c>
      <c r="G8" s="475">
        <v>0</v>
      </c>
      <c r="H8" s="477">
        <f t="shared" ref="H8:H23" si="0">F8-G8</f>
        <v>10000</v>
      </c>
    </row>
    <row r="9" spans="1:11" x14ac:dyDescent="0.15">
      <c r="B9" s="472"/>
      <c r="C9" s="472"/>
      <c r="D9" s="478" t="s">
        <v>401</v>
      </c>
      <c r="E9" s="474" t="s">
        <v>400</v>
      </c>
      <c r="F9" s="477">
        <f>SUM(F8:F8)</f>
        <v>10000</v>
      </c>
      <c r="G9" s="477">
        <f>SUM(G8:G8)</f>
        <v>0</v>
      </c>
      <c r="H9" s="477">
        <f t="shared" si="0"/>
        <v>10000</v>
      </c>
    </row>
    <row r="10" spans="1:11" x14ac:dyDescent="0.15">
      <c r="B10" s="472"/>
      <c r="C10" s="472"/>
      <c r="D10" s="473"/>
      <c r="E10" s="474"/>
      <c r="F10" s="475"/>
      <c r="G10" s="475"/>
      <c r="H10" s="477"/>
    </row>
    <row r="11" spans="1:11" x14ac:dyDescent="0.15">
      <c r="B11" s="472" t="s">
        <v>402</v>
      </c>
      <c r="C11" s="472"/>
      <c r="D11" s="473" t="s">
        <v>403</v>
      </c>
      <c r="E11" s="474" t="s">
        <v>400</v>
      </c>
      <c r="F11" s="475">
        <v>30000</v>
      </c>
      <c r="G11" s="475">
        <v>0</v>
      </c>
      <c r="H11" s="477">
        <f t="shared" si="0"/>
        <v>30000</v>
      </c>
    </row>
    <row r="12" spans="1:11" x14ac:dyDescent="0.15">
      <c r="B12" s="472" t="s">
        <v>402</v>
      </c>
      <c r="C12" s="472"/>
      <c r="D12" s="473" t="s">
        <v>404</v>
      </c>
      <c r="E12" s="474" t="s">
        <v>400</v>
      </c>
      <c r="F12" s="475">
        <v>50000</v>
      </c>
      <c r="G12" s="475">
        <v>0</v>
      </c>
      <c r="H12" s="477">
        <f t="shared" si="0"/>
        <v>50000</v>
      </c>
    </row>
    <row r="13" spans="1:11" x14ac:dyDescent="0.15">
      <c r="B13" s="472" t="s">
        <v>402</v>
      </c>
      <c r="C13" s="472"/>
      <c r="D13" s="473" t="s">
        <v>405</v>
      </c>
      <c r="E13" s="474" t="s">
        <v>400</v>
      </c>
      <c r="F13" s="475">
        <v>86000</v>
      </c>
      <c r="G13" s="475">
        <v>85610.7</v>
      </c>
      <c r="H13" s="477">
        <f t="shared" si="0"/>
        <v>389.30000000000291</v>
      </c>
    </row>
    <row r="14" spans="1:11" x14ac:dyDescent="0.15">
      <c r="B14" s="472"/>
      <c r="C14" s="472"/>
      <c r="D14" s="478" t="s">
        <v>406</v>
      </c>
      <c r="E14" s="474" t="s">
        <v>400</v>
      </c>
      <c r="F14" s="477">
        <f>SUM(F11:F13)</f>
        <v>166000</v>
      </c>
      <c r="G14" s="477">
        <f>SUM(G11:G13)</f>
        <v>85610.7</v>
      </c>
      <c r="H14" s="477">
        <f t="shared" si="0"/>
        <v>80389.3</v>
      </c>
    </row>
    <row r="15" spans="1:11" x14ac:dyDescent="0.15">
      <c r="B15" s="472"/>
      <c r="C15" s="472"/>
      <c r="D15" s="473"/>
      <c r="E15" s="474"/>
      <c r="F15" s="475"/>
      <c r="G15" s="475"/>
      <c r="H15" s="477"/>
    </row>
    <row r="16" spans="1:11" x14ac:dyDescent="0.15">
      <c r="B16" s="472" t="s">
        <v>407</v>
      </c>
      <c r="C16" s="472"/>
      <c r="D16" s="473" t="s">
        <v>408</v>
      </c>
      <c r="E16" s="474" t="s">
        <v>400</v>
      </c>
      <c r="F16" s="475">
        <v>396629</v>
      </c>
      <c r="G16" s="475">
        <v>205087</v>
      </c>
      <c r="H16" s="477">
        <f t="shared" si="0"/>
        <v>191542</v>
      </c>
    </row>
    <row r="17" spans="2:8" x14ac:dyDescent="0.15">
      <c r="B17" s="472"/>
      <c r="C17" s="472"/>
      <c r="D17" s="478" t="s">
        <v>409</v>
      </c>
      <c r="E17" s="474" t="s">
        <v>400</v>
      </c>
      <c r="F17" s="477">
        <f>SUM(F16:F16)</f>
        <v>396629</v>
      </c>
      <c r="G17" s="477">
        <f>SUM(G16:G16)</f>
        <v>205087</v>
      </c>
      <c r="H17" s="477">
        <f t="shared" si="0"/>
        <v>191542</v>
      </c>
    </row>
    <row r="18" spans="2:8" x14ac:dyDescent="0.15">
      <c r="B18" s="472"/>
      <c r="C18" s="472"/>
      <c r="D18" s="473"/>
      <c r="E18" s="474"/>
      <c r="F18" s="475"/>
      <c r="G18" s="475"/>
      <c r="H18" s="477"/>
    </row>
    <row r="19" spans="2:8" x14ac:dyDescent="0.15">
      <c r="B19" s="472" t="s">
        <v>689</v>
      </c>
      <c r="C19" s="472"/>
      <c r="D19" s="473" t="s">
        <v>691</v>
      </c>
      <c r="E19" s="474" t="s">
        <v>690</v>
      </c>
      <c r="F19" s="475">
        <v>0</v>
      </c>
      <c r="G19" s="475">
        <v>464.15</v>
      </c>
      <c r="H19" s="477">
        <f t="shared" si="0"/>
        <v>-464.15</v>
      </c>
    </row>
    <row r="20" spans="2:8" x14ac:dyDescent="0.15">
      <c r="B20" s="472"/>
      <c r="C20" s="472"/>
      <c r="D20" s="473"/>
      <c r="E20" s="474"/>
      <c r="F20" s="475"/>
      <c r="G20" s="475"/>
      <c r="H20" s="477"/>
    </row>
    <row r="21" spans="2:8" x14ac:dyDescent="0.15">
      <c r="B21" s="479"/>
      <c r="C21" s="479"/>
      <c r="D21" s="480" t="s">
        <v>410</v>
      </c>
      <c r="E21" s="481"/>
      <c r="F21" s="482">
        <v>0</v>
      </c>
      <c r="G21" s="482">
        <f>G19</f>
        <v>464.15</v>
      </c>
      <c r="H21" s="483">
        <f t="shared" si="0"/>
        <v>-464.15</v>
      </c>
    </row>
    <row r="22" spans="2:8" x14ac:dyDescent="0.15">
      <c r="B22" s="479"/>
      <c r="C22" s="479"/>
      <c r="D22" s="480" t="s">
        <v>411</v>
      </c>
      <c r="E22" s="481"/>
      <c r="F22" s="482">
        <f>SUM(F9+F14+F16)</f>
        <v>572629</v>
      </c>
      <c r="G22" s="482">
        <f>SUM(G9+G14+G16)</f>
        <v>290697.7</v>
      </c>
      <c r="H22" s="483">
        <f t="shared" si="0"/>
        <v>281931.3</v>
      </c>
    </row>
    <row r="23" spans="2:8" x14ac:dyDescent="0.15">
      <c r="B23" s="484"/>
      <c r="C23" s="484"/>
      <c r="D23" s="485" t="s">
        <v>412</v>
      </c>
      <c r="E23" s="486"/>
      <c r="F23" s="487">
        <f>SUM(F21:F22)</f>
        <v>572629</v>
      </c>
      <c r="G23" s="487">
        <f>SUM(G21:G22)</f>
        <v>291161.85000000003</v>
      </c>
      <c r="H23" s="483">
        <f t="shared" si="0"/>
        <v>281467.14999999997</v>
      </c>
    </row>
    <row r="24" spans="2:8" x14ac:dyDescent="0.15">
      <c r="B24" s="488"/>
      <c r="C24" s="488"/>
      <c r="D24" s="489"/>
      <c r="E24" s="490"/>
      <c r="F24" s="491"/>
      <c r="G24" s="492"/>
      <c r="H24" s="491"/>
    </row>
    <row r="25" spans="2:8" x14ac:dyDescent="0.15">
      <c r="B25" s="488"/>
      <c r="C25" s="488"/>
      <c r="D25" s="489"/>
      <c r="E25" s="490"/>
      <c r="F25" s="491"/>
      <c r="G25" s="492"/>
      <c r="H25" s="491"/>
    </row>
    <row r="26" spans="2:8" ht="10.199999999999999" x14ac:dyDescent="0.2">
      <c r="B26" s="493"/>
      <c r="C26" s="493"/>
      <c r="D26" s="494" t="s">
        <v>413</v>
      </c>
      <c r="E26" s="495"/>
      <c r="F26" s="496"/>
      <c r="G26" s="497" t="s">
        <v>414</v>
      </c>
      <c r="H26" s="498">
        <v>45291</v>
      </c>
    </row>
    <row r="27" spans="2:8" ht="15.6" x14ac:dyDescent="0.15">
      <c r="B27" s="488"/>
      <c r="C27" s="488"/>
      <c r="D27" s="473"/>
      <c r="E27" s="474"/>
      <c r="F27" s="499" t="s">
        <v>415</v>
      </c>
      <c r="G27" s="500" t="s">
        <v>416</v>
      </c>
      <c r="H27" s="499" t="s">
        <v>397</v>
      </c>
    </row>
    <row r="28" spans="2:8" x14ac:dyDescent="0.15">
      <c r="B28" s="501"/>
      <c r="C28" s="501"/>
      <c r="D28" s="502" t="s">
        <v>417</v>
      </c>
      <c r="E28" s="503"/>
      <c r="F28" s="504"/>
      <c r="G28" s="504"/>
      <c r="H28" s="504"/>
    </row>
    <row r="29" spans="2:8" x14ac:dyDescent="0.15">
      <c r="B29" s="472">
        <v>1036</v>
      </c>
      <c r="C29" s="472"/>
      <c r="D29" s="473" t="s">
        <v>418</v>
      </c>
      <c r="E29" s="474" t="s">
        <v>400</v>
      </c>
      <c r="F29" s="475">
        <v>96381.98</v>
      </c>
      <c r="G29" s="475">
        <v>0</v>
      </c>
      <c r="H29" s="476">
        <f>F29-G29</f>
        <v>96381.98</v>
      </c>
    </row>
    <row r="30" spans="2:8" x14ac:dyDescent="0.15">
      <c r="B30" s="472"/>
      <c r="C30" s="472"/>
      <c r="D30" s="473"/>
      <c r="E30" s="474"/>
      <c r="F30" s="476"/>
      <c r="G30" s="475"/>
      <c r="H30" s="476"/>
    </row>
    <row r="31" spans="2:8" x14ac:dyDescent="0.15">
      <c r="B31" s="472"/>
      <c r="C31" s="472"/>
      <c r="D31" s="473" t="s">
        <v>419</v>
      </c>
      <c r="E31" s="474" t="s">
        <v>400</v>
      </c>
      <c r="F31" s="475">
        <v>63196.28</v>
      </c>
      <c r="G31" s="475">
        <v>0</v>
      </c>
      <c r="H31" s="476">
        <f t="shared" ref="H31:H38" si="1">F31-G31</f>
        <v>63196.28</v>
      </c>
    </row>
    <row r="32" spans="2:8" x14ac:dyDescent="0.15">
      <c r="B32" s="472"/>
      <c r="C32" s="472"/>
      <c r="D32" s="473" t="s">
        <v>420</v>
      </c>
      <c r="E32" s="474" t="s">
        <v>400</v>
      </c>
      <c r="F32" s="475">
        <v>28526</v>
      </c>
      <c r="G32" s="475">
        <v>0</v>
      </c>
      <c r="H32" s="476">
        <f t="shared" si="1"/>
        <v>28526</v>
      </c>
    </row>
    <row r="33" spans="2:8" x14ac:dyDescent="0.15">
      <c r="B33" s="472"/>
      <c r="C33" s="472"/>
      <c r="D33" s="473" t="s">
        <v>421</v>
      </c>
      <c r="E33" s="474" t="s">
        <v>400</v>
      </c>
      <c r="F33" s="475">
        <v>0</v>
      </c>
      <c r="G33" s="475">
        <v>0</v>
      </c>
      <c r="H33" s="476">
        <f t="shared" si="1"/>
        <v>0</v>
      </c>
    </row>
    <row r="34" spans="2:8" x14ac:dyDescent="0.15">
      <c r="B34" s="472"/>
      <c r="C34" s="472"/>
      <c r="D34" s="473" t="s">
        <v>422</v>
      </c>
      <c r="E34" s="474" t="s">
        <v>400</v>
      </c>
      <c r="F34" s="475">
        <v>0</v>
      </c>
      <c r="G34" s="475">
        <v>0</v>
      </c>
      <c r="H34" s="476">
        <f t="shared" si="1"/>
        <v>0</v>
      </c>
    </row>
    <row r="35" spans="2:8" x14ac:dyDescent="0.15">
      <c r="B35" s="472"/>
      <c r="C35" s="472"/>
      <c r="D35" s="473" t="s">
        <v>423</v>
      </c>
      <c r="E35" s="474" t="s">
        <v>400</v>
      </c>
      <c r="F35" s="475">
        <v>0</v>
      </c>
      <c r="G35" s="475">
        <v>0</v>
      </c>
      <c r="H35" s="476">
        <f t="shared" si="1"/>
        <v>0</v>
      </c>
    </row>
    <row r="36" spans="2:8" x14ac:dyDescent="0.15">
      <c r="B36" s="472"/>
      <c r="C36" s="472"/>
      <c r="D36" s="473" t="s">
        <v>424</v>
      </c>
      <c r="E36" s="474" t="s">
        <v>400</v>
      </c>
      <c r="F36" s="476">
        <f>SUM(F31:F35)</f>
        <v>91722.28</v>
      </c>
      <c r="G36" s="476">
        <f t="shared" ref="G36:H36" si="2">SUM(G31:G35)</f>
        <v>0</v>
      </c>
      <c r="H36" s="476">
        <f t="shared" si="2"/>
        <v>91722.28</v>
      </c>
    </row>
    <row r="37" spans="2:8" x14ac:dyDescent="0.15">
      <c r="B37" s="472"/>
      <c r="C37" s="472"/>
      <c r="D37" s="505"/>
      <c r="E37" s="474"/>
      <c r="F37" s="476"/>
      <c r="G37" s="475"/>
      <c r="H37" s="476"/>
    </row>
    <row r="38" spans="2:8" x14ac:dyDescent="0.15">
      <c r="B38" s="472">
        <v>1036</v>
      </c>
      <c r="C38" s="472"/>
      <c r="D38" s="506" t="s">
        <v>425</v>
      </c>
      <c r="E38" s="474" t="s">
        <v>400</v>
      </c>
      <c r="F38" s="476">
        <v>0</v>
      </c>
      <c r="G38" s="476">
        <v>85610.7</v>
      </c>
      <c r="H38" s="476">
        <f t="shared" si="1"/>
        <v>-85610.7</v>
      </c>
    </row>
    <row r="39" spans="2:8" x14ac:dyDescent="0.15">
      <c r="B39" s="507">
        <v>1036</v>
      </c>
      <c r="C39" s="507"/>
      <c r="D39" s="508" t="s">
        <v>426</v>
      </c>
      <c r="E39" s="509"/>
      <c r="F39" s="510">
        <f>F29+F36</f>
        <v>188104.26</v>
      </c>
      <c r="G39" s="510">
        <f>SUM(G29:G38)</f>
        <v>85610.7</v>
      </c>
      <c r="H39" s="510">
        <f>F39-G39</f>
        <v>102493.56000000001</v>
      </c>
    </row>
    <row r="40" spans="2:8" x14ac:dyDescent="0.15">
      <c r="B40" s="488"/>
      <c r="C40" s="488"/>
      <c r="D40" s="473"/>
      <c r="E40" s="474"/>
      <c r="F40" s="476"/>
      <c r="G40" s="476"/>
      <c r="H40" s="476"/>
    </row>
    <row r="41" spans="2:8" x14ac:dyDescent="0.15">
      <c r="B41" s="501"/>
      <c r="C41" s="501"/>
      <c r="D41" s="502" t="s">
        <v>427</v>
      </c>
      <c r="E41" s="503"/>
      <c r="F41" s="504"/>
      <c r="G41" s="504"/>
      <c r="H41" s="504"/>
    </row>
    <row r="42" spans="2:8" x14ac:dyDescent="0.15">
      <c r="B42" s="488">
        <v>1034</v>
      </c>
      <c r="C42" s="488"/>
      <c r="D42" s="473" t="s">
        <v>428</v>
      </c>
      <c r="E42" s="474"/>
      <c r="F42" s="475">
        <v>407933.94</v>
      </c>
      <c r="G42" s="475">
        <v>0</v>
      </c>
      <c r="H42" s="476">
        <f>F42-G42</f>
        <v>407933.94</v>
      </c>
    </row>
    <row r="43" spans="2:8" x14ac:dyDescent="0.15">
      <c r="B43" s="488"/>
      <c r="C43" s="488"/>
      <c r="D43" s="473" t="s">
        <v>429</v>
      </c>
      <c r="E43" s="474"/>
      <c r="F43" s="475">
        <v>63196.28</v>
      </c>
      <c r="G43" s="475">
        <v>0</v>
      </c>
      <c r="H43" s="476">
        <f t="shared" ref="H43:H44" si="3">F43-G43</f>
        <v>63196.28</v>
      </c>
    </row>
    <row r="44" spans="2:8" x14ac:dyDescent="0.15">
      <c r="B44" s="488"/>
      <c r="C44" s="488"/>
      <c r="D44" s="473" t="s">
        <v>430</v>
      </c>
      <c r="E44" s="474"/>
      <c r="F44" s="475">
        <v>0</v>
      </c>
      <c r="G44" s="475">
        <v>152880</v>
      </c>
      <c r="H44" s="476">
        <f t="shared" si="3"/>
        <v>-152880</v>
      </c>
    </row>
    <row r="45" spans="2:8" x14ac:dyDescent="0.15">
      <c r="B45" s="511"/>
      <c r="C45" s="511"/>
      <c r="D45" s="508" t="s">
        <v>431</v>
      </c>
      <c r="E45" s="512"/>
      <c r="F45" s="510">
        <f>SUM(F42:F44)</f>
        <v>471130.22</v>
      </c>
      <c r="G45" s="510">
        <f>SUM(G42:G44)</f>
        <v>152880</v>
      </c>
      <c r="H45" s="510">
        <f>SUM(H42:H44)</f>
        <v>318250.21999999997</v>
      </c>
    </row>
    <row r="46" spans="2:8" x14ac:dyDescent="0.15">
      <c r="B46" s="488"/>
      <c r="C46" s="488"/>
      <c r="D46" s="473"/>
      <c r="E46" s="474"/>
      <c r="F46" s="476"/>
      <c r="G46" s="476"/>
      <c r="H46" s="476"/>
    </row>
    <row r="47" spans="2:8" x14ac:dyDescent="0.15">
      <c r="B47" s="501">
        <v>1035</v>
      </c>
      <c r="C47" s="501"/>
      <c r="D47" s="502" t="s">
        <v>432</v>
      </c>
      <c r="E47" s="503"/>
      <c r="F47" s="504"/>
      <c r="G47" s="504"/>
      <c r="H47" s="504"/>
    </row>
    <row r="48" spans="2:8" x14ac:dyDescent="0.15">
      <c r="B48" s="488" t="s">
        <v>433</v>
      </c>
      <c r="C48" s="488"/>
      <c r="D48" s="473" t="s">
        <v>434</v>
      </c>
      <c r="E48" s="474"/>
      <c r="F48" s="475">
        <v>51434.3</v>
      </c>
      <c r="G48" s="475">
        <v>0</v>
      </c>
      <c r="H48" s="476">
        <f>F48-G48</f>
        <v>51434.3</v>
      </c>
    </row>
    <row r="49" spans="2:8" x14ac:dyDescent="0.15">
      <c r="B49" s="488" t="s">
        <v>435</v>
      </c>
      <c r="C49" s="488"/>
      <c r="D49" s="473" t="s">
        <v>436</v>
      </c>
      <c r="E49" s="474"/>
      <c r="F49" s="475">
        <v>297025.02</v>
      </c>
      <c r="G49" s="475">
        <v>0</v>
      </c>
      <c r="H49" s="476">
        <f t="shared" ref="H49:H51" si="4">F49-G49</f>
        <v>297025.02</v>
      </c>
    </row>
    <row r="50" spans="2:8" x14ac:dyDescent="0.15">
      <c r="B50" s="488" t="s">
        <v>437</v>
      </c>
      <c r="C50" s="488"/>
      <c r="D50" s="473" t="s">
        <v>438</v>
      </c>
      <c r="E50" s="474"/>
      <c r="F50" s="475">
        <v>350000</v>
      </c>
      <c r="G50" s="475">
        <v>0</v>
      </c>
      <c r="H50" s="476">
        <f t="shared" si="4"/>
        <v>350000</v>
      </c>
    </row>
    <row r="51" spans="2:8" x14ac:dyDescent="0.15">
      <c r="B51" s="488" t="s">
        <v>439</v>
      </c>
      <c r="C51" s="488"/>
      <c r="D51" s="473" t="s">
        <v>440</v>
      </c>
      <c r="E51" s="474"/>
      <c r="F51" s="475">
        <v>10926.51</v>
      </c>
      <c r="G51" s="475">
        <v>0</v>
      </c>
      <c r="H51" s="476">
        <f t="shared" si="4"/>
        <v>10926.51</v>
      </c>
    </row>
    <row r="52" spans="2:8" x14ac:dyDescent="0.15">
      <c r="B52" s="511">
        <v>1035</v>
      </c>
      <c r="C52" s="511"/>
      <c r="D52" s="508" t="s">
        <v>441</v>
      </c>
      <c r="E52" s="509"/>
      <c r="F52" s="510">
        <f t="shared" ref="F52:H52" si="5">SUM(F48:F51)</f>
        <v>709385.83000000007</v>
      </c>
      <c r="G52" s="510">
        <f t="shared" si="5"/>
        <v>0</v>
      </c>
      <c r="H52" s="510">
        <f t="shared" si="5"/>
        <v>709385.83000000007</v>
      </c>
    </row>
    <row r="53" spans="2:8" x14ac:dyDescent="0.15">
      <c r="B53" s="488"/>
      <c r="C53" s="488"/>
      <c r="D53" s="473"/>
      <c r="E53" s="474"/>
      <c r="F53" s="476"/>
      <c r="G53" s="476"/>
      <c r="H53" s="476"/>
    </row>
    <row r="54" spans="2:8" x14ac:dyDescent="0.15">
      <c r="B54" s="511">
        <v>1031</v>
      </c>
      <c r="C54" s="511"/>
      <c r="D54" s="508" t="s">
        <v>442</v>
      </c>
      <c r="E54" s="509"/>
      <c r="F54" s="510">
        <v>11872.03</v>
      </c>
      <c r="G54" s="510">
        <v>0</v>
      </c>
      <c r="H54" s="510">
        <f>F54-G54</f>
        <v>11872.03</v>
      </c>
    </row>
    <row r="55" spans="2:8" x14ac:dyDescent="0.15">
      <c r="B55" s="488"/>
      <c r="C55" s="488"/>
      <c r="D55" s="473"/>
      <c r="E55" s="474"/>
      <c r="F55" s="476"/>
      <c r="G55" s="476"/>
      <c r="H55" s="476"/>
    </row>
    <row r="56" spans="2:8" x14ac:dyDescent="0.15">
      <c r="B56" s="501">
        <v>1030</v>
      </c>
      <c r="C56" s="501"/>
      <c r="D56" s="502" t="s">
        <v>443</v>
      </c>
      <c r="E56" s="503"/>
      <c r="F56" s="504"/>
      <c r="G56" s="504"/>
      <c r="H56" s="504"/>
    </row>
    <row r="57" spans="2:8" x14ac:dyDescent="0.15">
      <c r="B57" s="488" t="s">
        <v>444</v>
      </c>
      <c r="C57" s="488"/>
      <c r="D57" s="473" t="s">
        <v>445</v>
      </c>
      <c r="E57" s="474"/>
      <c r="F57" s="475">
        <v>1400</v>
      </c>
      <c r="G57" s="475">
        <v>0</v>
      </c>
      <c r="H57" s="476">
        <f>F57-G57</f>
        <v>1400</v>
      </c>
    </row>
    <row r="58" spans="2:8" x14ac:dyDescent="0.15">
      <c r="B58" s="488" t="s">
        <v>446</v>
      </c>
      <c r="C58" s="488"/>
      <c r="D58" s="473" t="s">
        <v>447</v>
      </c>
      <c r="E58" s="474"/>
      <c r="F58" s="475">
        <v>13729.37</v>
      </c>
      <c r="G58" s="475">
        <v>0</v>
      </c>
      <c r="H58" s="476">
        <f t="shared" ref="H58:H59" si="6">F58-G58</f>
        <v>13729.37</v>
      </c>
    </row>
    <row r="59" spans="2:8" x14ac:dyDescent="0.15">
      <c r="B59" s="488" t="s">
        <v>448</v>
      </c>
      <c r="C59" s="488"/>
      <c r="D59" s="473" t="s">
        <v>449</v>
      </c>
      <c r="E59" s="474"/>
      <c r="F59" s="475">
        <v>5000</v>
      </c>
      <c r="G59" s="475">
        <v>0</v>
      </c>
      <c r="H59" s="476">
        <f t="shared" si="6"/>
        <v>5000</v>
      </c>
    </row>
    <row r="60" spans="2:8" x14ac:dyDescent="0.15">
      <c r="B60" s="511">
        <v>1030</v>
      </c>
      <c r="C60" s="511"/>
      <c r="D60" s="508" t="s">
        <v>443</v>
      </c>
      <c r="E60" s="509"/>
      <c r="F60" s="510">
        <f>SUM(F57:F59)</f>
        <v>20129.370000000003</v>
      </c>
      <c r="G60" s="510">
        <f>SUM(G57:G59)</f>
        <v>0</v>
      </c>
      <c r="H60" s="510">
        <f>F60-G60</f>
        <v>20129.370000000003</v>
      </c>
    </row>
    <row r="61" spans="2:8" x14ac:dyDescent="0.15">
      <c r="B61" s="488"/>
      <c r="C61" s="488"/>
      <c r="D61" s="473"/>
      <c r="E61" s="474"/>
      <c r="F61" s="476"/>
      <c r="G61" s="476"/>
      <c r="H61" s="476"/>
    </row>
    <row r="62" spans="2:8" x14ac:dyDescent="0.15">
      <c r="B62" s="511">
        <v>1048</v>
      </c>
      <c r="C62" s="511"/>
      <c r="D62" s="508" t="s">
        <v>450</v>
      </c>
      <c r="E62" s="509"/>
      <c r="F62" s="510">
        <v>12440.56</v>
      </c>
      <c r="G62" s="510">
        <v>0</v>
      </c>
      <c r="H62" s="510">
        <f>F62-G62</f>
        <v>12440.56</v>
      </c>
    </row>
    <row r="63" spans="2:8" x14ac:dyDescent="0.15">
      <c r="B63" s="488"/>
      <c r="C63" s="488"/>
      <c r="D63" s="473"/>
      <c r="E63" s="474"/>
      <c r="F63" s="475"/>
      <c r="G63" s="513"/>
      <c r="H63" s="475"/>
    </row>
    <row r="64" spans="2:8" x14ac:dyDescent="0.15">
      <c r="B64" s="514"/>
      <c r="C64" s="514"/>
      <c r="D64" s="515" t="s">
        <v>451</v>
      </c>
      <c r="E64" s="516"/>
      <c r="F64" s="517">
        <f>SUM(F39+F45+F52+F54+F60+F62)</f>
        <v>1413062.2700000003</v>
      </c>
      <c r="G64" s="517">
        <f t="shared" ref="G64:H64" si="7">SUM(G39+G45+G52+G54+G60+G62)</f>
        <v>238490.7</v>
      </c>
      <c r="H64" s="517">
        <f t="shared" si="7"/>
        <v>1174571.5700000003</v>
      </c>
    </row>
    <row r="65" spans="2:10" x14ac:dyDescent="0.15">
      <c r="B65" s="488"/>
      <c r="C65" s="488"/>
      <c r="D65" s="473"/>
      <c r="E65" s="474"/>
      <c r="F65" s="475"/>
      <c r="G65" s="513"/>
      <c r="H65" s="475"/>
    </row>
    <row r="66" spans="2:10" x14ac:dyDescent="0.15">
      <c r="B66" s="488"/>
      <c r="C66" s="488"/>
      <c r="D66" s="473"/>
      <c r="E66" s="474"/>
      <c r="F66" s="475"/>
      <c r="G66" s="513"/>
      <c r="H66" s="475"/>
    </row>
    <row r="67" spans="2:10" ht="10.199999999999999" x14ac:dyDescent="0.2">
      <c r="B67" s="493"/>
      <c r="C67" s="493"/>
      <c r="D67" s="494" t="s">
        <v>452</v>
      </c>
      <c r="E67" s="495"/>
      <c r="F67" s="496"/>
      <c r="G67" s="518"/>
      <c r="H67" s="498"/>
    </row>
    <row r="68" spans="2:10" x14ac:dyDescent="0.15">
      <c r="B68" s="488"/>
      <c r="C68" s="488"/>
      <c r="D68" s="473" t="s">
        <v>299</v>
      </c>
      <c r="E68" s="474"/>
      <c r="F68" s="475"/>
      <c r="G68" s="513"/>
      <c r="H68" s="476">
        <v>341581.63</v>
      </c>
    </row>
    <row r="69" spans="2:10" x14ac:dyDescent="0.15">
      <c r="B69" s="488"/>
      <c r="C69" s="488"/>
      <c r="D69" s="473" t="s">
        <v>386</v>
      </c>
      <c r="E69" s="474"/>
      <c r="F69" s="475"/>
      <c r="G69" s="513"/>
      <c r="H69" s="476">
        <v>605841.43999999994</v>
      </c>
    </row>
    <row r="70" spans="2:10" x14ac:dyDescent="0.15">
      <c r="B70" s="488"/>
      <c r="C70" s="488"/>
      <c r="D70" s="473" t="s">
        <v>688</v>
      </c>
      <c r="E70" s="474"/>
      <c r="F70" s="475"/>
      <c r="G70" s="513"/>
      <c r="H70" s="476">
        <v>298258.21000000002</v>
      </c>
    </row>
    <row r="71" spans="2:10" x14ac:dyDescent="0.15">
      <c r="B71" s="519"/>
      <c r="C71" s="519"/>
      <c r="D71" s="520" t="s">
        <v>453</v>
      </c>
      <c r="E71" s="521"/>
      <c r="F71" s="522"/>
      <c r="G71" s="523"/>
      <c r="H71" s="522">
        <f>SUM(H68:H70)</f>
        <v>1245681.28</v>
      </c>
    </row>
    <row r="72" spans="2:10" x14ac:dyDescent="0.15">
      <c r="B72" s="488"/>
      <c r="C72" s="488"/>
      <c r="D72" s="473"/>
      <c r="E72" s="474"/>
      <c r="F72" s="475"/>
      <c r="G72" s="513"/>
      <c r="H72" s="476"/>
    </row>
    <row r="73" spans="2:10" x14ac:dyDescent="0.15">
      <c r="B73" s="488"/>
      <c r="C73" s="488"/>
      <c r="D73" s="473"/>
      <c r="E73" s="474"/>
      <c r="F73" s="475"/>
      <c r="G73" s="513"/>
      <c r="H73" s="476"/>
    </row>
    <row r="74" spans="2:10" ht="10.199999999999999" x14ac:dyDescent="0.2">
      <c r="B74" s="493"/>
      <c r="C74" s="493"/>
      <c r="D74" s="524" t="s">
        <v>454</v>
      </c>
      <c r="E74" s="525"/>
      <c r="F74" s="496"/>
      <c r="G74" s="518"/>
      <c r="H74" s="498"/>
    </row>
    <row r="75" spans="2:10" x14ac:dyDescent="0.15">
      <c r="B75" s="488"/>
      <c r="C75" s="488"/>
      <c r="D75" s="473" t="s">
        <v>455</v>
      </c>
      <c r="E75" s="474"/>
      <c r="F75" s="475"/>
      <c r="G75" s="513"/>
      <c r="H75" s="476">
        <f>H64</f>
        <v>1174571.5700000003</v>
      </c>
      <c r="J75" s="541"/>
    </row>
    <row r="76" spans="2:10" x14ac:dyDescent="0.15">
      <c r="B76" s="488">
        <v>1022</v>
      </c>
      <c r="C76" s="488"/>
      <c r="D76" s="473" t="s">
        <v>456</v>
      </c>
      <c r="E76" s="474"/>
      <c r="F76" s="475"/>
      <c r="G76" s="513"/>
      <c r="H76" s="476">
        <v>71109.710000000006</v>
      </c>
      <c r="J76" s="541"/>
    </row>
    <row r="77" spans="2:10" x14ac:dyDescent="0.15">
      <c r="B77" s="519"/>
      <c r="C77" s="519"/>
      <c r="D77" s="520" t="s">
        <v>453</v>
      </c>
      <c r="E77" s="521"/>
      <c r="F77" s="522"/>
      <c r="G77" s="523"/>
      <c r="H77" s="522">
        <f>SUM(H75:H76)</f>
        <v>1245681.2800000003</v>
      </c>
    </row>
    <row r="78" spans="2:10" x14ac:dyDescent="0.15">
      <c r="B78" s="488"/>
      <c r="C78" s="488"/>
      <c r="D78" s="473"/>
      <c r="E78" s="474"/>
      <c r="F78" s="475"/>
      <c r="G78" s="513"/>
      <c r="H78" s="475"/>
    </row>
    <row r="81" spans="1:8" s="529" customFormat="1" x14ac:dyDescent="0.15">
      <c r="A81" s="200"/>
      <c r="B81" s="526"/>
      <c r="C81" s="526"/>
      <c r="D81" s="527" t="s">
        <v>457</v>
      </c>
      <c r="E81" s="528"/>
      <c r="G81" s="530"/>
    </row>
    <row r="82" spans="1:8" s="535" customFormat="1" x14ac:dyDescent="0.15">
      <c r="A82" s="196"/>
      <c r="B82" s="531">
        <v>45200</v>
      </c>
      <c r="C82" s="531"/>
      <c r="D82" s="197" t="s">
        <v>458</v>
      </c>
      <c r="E82" s="532"/>
      <c r="F82" s="533"/>
      <c r="G82" s="534"/>
      <c r="H82" s="533"/>
    </row>
    <row r="83" spans="1:8" s="535" customFormat="1" x14ac:dyDescent="0.15">
      <c r="A83" s="196"/>
      <c r="B83" s="531"/>
      <c r="C83" s="531"/>
      <c r="D83" s="195" t="s">
        <v>692</v>
      </c>
      <c r="E83" s="536"/>
      <c r="G83" s="537"/>
    </row>
    <row r="84" spans="1:8" s="535" customFormat="1" x14ac:dyDescent="0.15">
      <c r="A84" s="196"/>
      <c r="B84" s="531"/>
      <c r="C84" s="531"/>
      <c r="D84" s="197"/>
      <c r="E84" s="532"/>
      <c r="G84" s="537"/>
    </row>
    <row r="85" spans="1:8" s="535" customFormat="1" x14ac:dyDescent="0.15">
      <c r="A85" s="196"/>
      <c r="B85" s="531"/>
      <c r="C85" s="531"/>
      <c r="D85" s="197"/>
      <c r="E85" s="532"/>
      <c r="G85" s="537"/>
    </row>
    <row r="86" spans="1:8" s="535" customFormat="1" x14ac:dyDescent="0.15">
      <c r="A86" s="196"/>
      <c r="B86" s="531"/>
      <c r="C86" s="531"/>
      <c r="D86" s="197"/>
      <c r="E86" s="532"/>
      <c r="G86" s="537"/>
    </row>
    <row r="87" spans="1:8" s="535" customFormat="1" x14ac:dyDescent="0.15">
      <c r="A87" s="196"/>
      <c r="B87" s="531"/>
      <c r="C87" s="531"/>
      <c r="D87" s="197"/>
      <c r="E87" s="532"/>
      <c r="G87" s="537"/>
    </row>
  </sheetData>
  <pageMargins left="0.5" right="0.5" top="0.3" bottom="0.25" header="0.4" footer="0.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76A9-9872-4C75-8B8C-CD2CA5155417}">
  <sheetPr codeName="Sheet7">
    <tabColor rgb="FF7030A0"/>
  </sheetPr>
  <dimension ref="A1:S55"/>
  <sheetViews>
    <sheetView zoomScale="130" zoomScaleNormal="130" zoomScaleSheetLayoutView="115" workbookViewId="0">
      <selection activeCell="D18" sqref="D18"/>
    </sheetView>
  </sheetViews>
  <sheetFormatPr defaultColWidth="14.140625" defaultRowHeight="7.8" x14ac:dyDescent="0.15"/>
  <cols>
    <col min="1" max="1" width="3.140625" style="561" customWidth="1"/>
    <col min="2" max="2" width="14" style="505" customWidth="1"/>
    <col min="3" max="3" width="16" style="505" customWidth="1"/>
    <col min="4" max="4" width="7.28515625" style="579" bestFit="1" customWidth="1"/>
    <col min="5" max="5" width="2.7109375" style="505" customWidth="1"/>
    <col min="6" max="6" width="8.85546875" style="505" bestFit="1" customWidth="1"/>
    <col min="7" max="7" width="9.28515625" style="600" bestFit="1" customWidth="1"/>
    <col min="8" max="8" width="8.85546875" style="598" bestFit="1" customWidth="1"/>
    <col min="9" max="16" width="9.42578125" style="598" bestFit="1" customWidth="1"/>
    <col min="17" max="17" width="9.42578125" style="601" bestFit="1" customWidth="1"/>
    <col min="18" max="21" width="6.85546875" style="505" customWidth="1"/>
    <col min="22" max="16384" width="14.140625" style="505"/>
  </cols>
  <sheetData>
    <row r="1" spans="1:19" s="550" customFormat="1" x14ac:dyDescent="0.15">
      <c r="A1" s="543"/>
      <c r="B1" s="544"/>
      <c r="C1" s="545"/>
      <c r="D1" s="546"/>
      <c r="E1" s="545"/>
      <c r="F1" s="547"/>
      <c r="G1" s="548"/>
      <c r="H1" s="545"/>
      <c r="I1" s="547"/>
      <c r="J1" s="547"/>
      <c r="K1" s="546"/>
      <c r="L1" s="549"/>
      <c r="Q1" s="551"/>
    </row>
    <row r="2" spans="1:19" s="688" customFormat="1" ht="12" x14ac:dyDescent="0.25">
      <c r="A2" s="679"/>
      <c r="B2" s="680" t="s">
        <v>459</v>
      </c>
      <c r="C2" s="681"/>
      <c r="D2" s="682"/>
      <c r="E2" s="681"/>
      <c r="F2" s="683"/>
      <c r="G2" s="684"/>
      <c r="H2" s="681"/>
      <c r="I2" s="683"/>
      <c r="J2" s="683"/>
      <c r="K2" s="683"/>
      <c r="L2" s="685"/>
      <c r="M2" s="686"/>
      <c r="N2" s="686"/>
      <c r="O2" s="686"/>
      <c r="P2" s="686"/>
      <c r="Q2" s="687"/>
    </row>
    <row r="3" spans="1:19" s="560" customFormat="1" ht="10.199999999999999" x14ac:dyDescent="0.2">
      <c r="A3" s="552"/>
      <c r="B3" s="783">
        <v>45323</v>
      </c>
      <c r="C3" s="783"/>
      <c r="D3" s="554"/>
      <c r="E3" s="558"/>
      <c r="F3" s="558"/>
      <c r="G3" s="556"/>
      <c r="H3" s="553"/>
      <c r="I3" s="554"/>
      <c r="J3" s="554"/>
      <c r="K3" s="555"/>
      <c r="L3" s="557"/>
      <c r="M3" s="558"/>
      <c r="N3" s="558"/>
      <c r="O3" s="558"/>
      <c r="P3" s="558"/>
      <c r="Q3" s="559"/>
    </row>
    <row r="4" spans="1:19" x14ac:dyDescent="0.15">
      <c r="D4" s="562"/>
      <c r="G4" s="563"/>
      <c r="H4" s="564"/>
      <c r="I4" s="564"/>
      <c r="J4" s="564"/>
      <c r="K4" s="564"/>
      <c r="L4" s="564"/>
      <c r="M4" s="564"/>
      <c r="N4" s="564"/>
      <c r="O4" s="564"/>
      <c r="P4" s="564"/>
      <c r="Q4" s="565"/>
    </row>
    <row r="5" spans="1:19" x14ac:dyDescent="0.15">
      <c r="D5" s="562"/>
      <c r="G5" s="563"/>
      <c r="H5" s="564"/>
      <c r="I5" s="564"/>
      <c r="J5" s="564"/>
      <c r="K5" s="564"/>
      <c r="L5" s="564"/>
      <c r="M5" s="564"/>
      <c r="N5" s="564"/>
      <c r="O5" s="564"/>
      <c r="P5" s="564"/>
      <c r="Q5" s="565"/>
    </row>
    <row r="6" spans="1:19" s="567" customFormat="1" x14ac:dyDescent="0.15">
      <c r="A6" s="566"/>
      <c r="B6" s="567" t="s">
        <v>460</v>
      </c>
      <c r="D6" s="566">
        <v>45170</v>
      </c>
      <c r="F6" s="566">
        <v>45200</v>
      </c>
      <c r="G6" s="566">
        <v>45231</v>
      </c>
      <c r="H6" s="566">
        <v>45261</v>
      </c>
      <c r="I6" s="566">
        <v>45292</v>
      </c>
      <c r="J6" s="566">
        <v>45323</v>
      </c>
      <c r="K6" s="566">
        <v>45352</v>
      </c>
      <c r="L6" s="566">
        <v>45383</v>
      </c>
      <c r="M6" s="566">
        <v>45413</v>
      </c>
      <c r="N6" s="566">
        <v>45444</v>
      </c>
      <c r="O6" s="566">
        <v>45474</v>
      </c>
      <c r="P6" s="566">
        <v>45505</v>
      </c>
      <c r="Q6" s="566">
        <v>45536</v>
      </c>
    </row>
    <row r="7" spans="1:19" s="569" customFormat="1" x14ac:dyDescent="0.15">
      <c r="A7" s="568"/>
      <c r="B7" s="569" t="s">
        <v>461</v>
      </c>
      <c r="D7" s="570" t="s">
        <v>462</v>
      </c>
      <c r="F7" s="568">
        <v>45232</v>
      </c>
      <c r="G7" s="568">
        <v>45263</v>
      </c>
      <c r="H7" s="568">
        <v>45301</v>
      </c>
      <c r="I7" s="568">
        <v>45324</v>
      </c>
      <c r="J7" s="568">
        <v>45357</v>
      </c>
      <c r="K7" s="568" t="s">
        <v>463</v>
      </c>
      <c r="L7" s="568" t="s">
        <v>463</v>
      </c>
      <c r="M7" s="568" t="s">
        <v>463</v>
      </c>
      <c r="N7" s="568" t="s">
        <v>463</v>
      </c>
      <c r="O7" s="568" t="s">
        <v>463</v>
      </c>
      <c r="P7" s="568" t="s">
        <v>463</v>
      </c>
      <c r="Q7" s="568" t="s">
        <v>463</v>
      </c>
    </row>
    <row r="8" spans="1:19" x14ac:dyDescent="0.15">
      <c r="D8" s="571"/>
      <c r="F8" s="572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65"/>
    </row>
    <row r="9" spans="1:19" x14ac:dyDescent="0.15">
      <c r="D9" s="571"/>
      <c r="F9" s="572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65"/>
    </row>
    <row r="10" spans="1:19" s="575" customFormat="1" ht="10.199999999999999" x14ac:dyDescent="0.2">
      <c r="A10" s="574"/>
      <c r="B10" s="575" t="s">
        <v>464</v>
      </c>
      <c r="D10" s="576"/>
      <c r="F10" s="577"/>
      <c r="G10" s="578"/>
      <c r="H10" s="578"/>
      <c r="I10" s="578"/>
      <c r="J10" s="578"/>
      <c r="K10" s="578"/>
      <c r="L10" s="578"/>
      <c r="M10" s="578"/>
      <c r="N10" s="578"/>
      <c r="O10" s="578"/>
      <c r="P10" s="578"/>
      <c r="Q10" s="578"/>
      <c r="R10" s="578"/>
      <c r="S10" s="578"/>
    </row>
    <row r="11" spans="1:19" x14ac:dyDescent="0.15">
      <c r="D11" s="571"/>
      <c r="F11" s="572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65"/>
    </row>
    <row r="12" spans="1:19" x14ac:dyDescent="0.15">
      <c r="B12" s="204" t="s">
        <v>465</v>
      </c>
      <c r="C12" s="204"/>
      <c r="D12" s="579">
        <v>377</v>
      </c>
      <c r="E12" s="204"/>
      <c r="F12" s="580">
        <v>376</v>
      </c>
      <c r="G12" s="580">
        <v>373</v>
      </c>
      <c r="H12" s="580">
        <v>365</v>
      </c>
      <c r="I12" s="580">
        <v>363</v>
      </c>
      <c r="J12" s="580">
        <v>360</v>
      </c>
      <c r="K12" s="580">
        <v>0</v>
      </c>
      <c r="L12" s="580">
        <v>0</v>
      </c>
      <c r="M12" s="580">
        <v>0</v>
      </c>
      <c r="N12" s="580">
        <v>0</v>
      </c>
      <c r="O12" s="580">
        <v>0</v>
      </c>
      <c r="P12" s="580">
        <v>0</v>
      </c>
      <c r="Q12" s="580">
        <v>0</v>
      </c>
    </row>
    <row r="13" spans="1:19" x14ac:dyDescent="0.15">
      <c r="B13" s="204" t="s">
        <v>466</v>
      </c>
      <c r="C13" s="204"/>
      <c r="D13" s="579">
        <v>11</v>
      </c>
      <c r="E13" s="204"/>
      <c r="F13" s="580">
        <v>11</v>
      </c>
      <c r="G13" s="580">
        <v>11</v>
      </c>
      <c r="H13" s="580">
        <v>12</v>
      </c>
      <c r="I13" s="580">
        <v>12</v>
      </c>
      <c r="J13" s="580">
        <v>12</v>
      </c>
      <c r="K13" s="580">
        <v>0</v>
      </c>
      <c r="L13" s="580">
        <v>0</v>
      </c>
      <c r="M13" s="580">
        <v>0</v>
      </c>
      <c r="N13" s="580">
        <v>0</v>
      </c>
      <c r="O13" s="580">
        <v>0</v>
      </c>
      <c r="P13" s="580">
        <v>0</v>
      </c>
      <c r="Q13" s="580">
        <v>0</v>
      </c>
    </row>
    <row r="14" spans="1:19" x14ac:dyDescent="0.15">
      <c r="B14" s="204" t="s">
        <v>467</v>
      </c>
      <c r="C14" s="204"/>
      <c r="D14" s="579">
        <v>30</v>
      </c>
      <c r="E14" s="204"/>
      <c r="F14" s="580">
        <v>31</v>
      </c>
      <c r="G14" s="580">
        <v>31</v>
      </c>
      <c r="H14" s="580">
        <v>31</v>
      </c>
      <c r="I14" s="580">
        <v>31</v>
      </c>
      <c r="J14" s="580">
        <v>31</v>
      </c>
      <c r="K14" s="580">
        <v>0</v>
      </c>
      <c r="L14" s="580">
        <v>0</v>
      </c>
      <c r="M14" s="580">
        <v>0</v>
      </c>
      <c r="N14" s="580">
        <v>0</v>
      </c>
      <c r="O14" s="580">
        <v>0</v>
      </c>
      <c r="P14" s="580">
        <v>0</v>
      </c>
      <c r="Q14" s="580">
        <v>0</v>
      </c>
    </row>
    <row r="15" spans="1:19" x14ac:dyDescent="0.15">
      <c r="B15" s="204" t="s">
        <v>468</v>
      </c>
      <c r="C15" s="204"/>
      <c r="D15" s="579">
        <v>66</v>
      </c>
      <c r="E15" s="204"/>
      <c r="F15" s="580">
        <v>66</v>
      </c>
      <c r="G15" s="580">
        <v>66</v>
      </c>
      <c r="H15" s="580">
        <v>64</v>
      </c>
      <c r="I15" s="580">
        <v>64</v>
      </c>
      <c r="J15" s="580">
        <v>64</v>
      </c>
      <c r="K15" s="580">
        <v>0</v>
      </c>
      <c r="L15" s="580">
        <v>0</v>
      </c>
      <c r="M15" s="580">
        <v>0</v>
      </c>
      <c r="N15" s="580">
        <v>0</v>
      </c>
      <c r="O15" s="580">
        <v>0</v>
      </c>
      <c r="P15" s="580">
        <v>0</v>
      </c>
      <c r="Q15" s="580">
        <v>0</v>
      </c>
    </row>
    <row r="16" spans="1:19" x14ac:dyDescent="0.15">
      <c r="B16" s="204" t="s">
        <v>469</v>
      </c>
      <c r="C16" s="204"/>
      <c r="D16" s="579">
        <v>76</v>
      </c>
      <c r="E16" s="204"/>
      <c r="F16" s="580">
        <v>76</v>
      </c>
      <c r="G16" s="580">
        <v>76</v>
      </c>
      <c r="H16" s="580">
        <v>74</v>
      </c>
      <c r="I16" s="580">
        <v>74</v>
      </c>
      <c r="J16" s="580">
        <v>74</v>
      </c>
      <c r="K16" s="580">
        <v>0</v>
      </c>
      <c r="L16" s="580">
        <v>0</v>
      </c>
      <c r="M16" s="580">
        <v>0</v>
      </c>
      <c r="N16" s="580">
        <v>0</v>
      </c>
      <c r="O16" s="580">
        <v>0</v>
      </c>
      <c r="P16" s="580">
        <v>0</v>
      </c>
      <c r="Q16" s="580">
        <v>0</v>
      </c>
    </row>
    <row r="17" spans="1:17" s="563" customFormat="1" x14ac:dyDescent="0.15">
      <c r="A17" s="561"/>
      <c r="B17" s="180" t="s">
        <v>332</v>
      </c>
      <c r="C17" s="180"/>
      <c r="D17" s="581">
        <f>SUM(D9:D16)</f>
        <v>560</v>
      </c>
      <c r="E17" s="180"/>
      <c r="F17" s="581">
        <f>SUM(F12:F16)</f>
        <v>560</v>
      </c>
      <c r="G17" s="581">
        <f t="shared" ref="G17:Q17" si="0">SUM(G12:G16)</f>
        <v>557</v>
      </c>
      <c r="H17" s="581">
        <f t="shared" si="0"/>
        <v>546</v>
      </c>
      <c r="I17" s="581">
        <f t="shared" si="0"/>
        <v>544</v>
      </c>
      <c r="J17" s="581">
        <f t="shared" si="0"/>
        <v>541</v>
      </c>
      <c r="K17" s="581">
        <f t="shared" si="0"/>
        <v>0</v>
      </c>
      <c r="L17" s="581">
        <f t="shared" si="0"/>
        <v>0</v>
      </c>
      <c r="M17" s="581">
        <f t="shared" si="0"/>
        <v>0</v>
      </c>
      <c r="N17" s="581">
        <f t="shared" si="0"/>
        <v>0</v>
      </c>
      <c r="O17" s="581">
        <f t="shared" si="0"/>
        <v>0</v>
      </c>
      <c r="P17" s="581">
        <f t="shared" si="0"/>
        <v>0</v>
      </c>
      <c r="Q17" s="581">
        <f t="shared" si="0"/>
        <v>0</v>
      </c>
    </row>
    <row r="18" spans="1:17" s="586" customFormat="1" x14ac:dyDescent="0.15">
      <c r="A18" s="582"/>
      <c r="B18" s="583" t="s">
        <v>470</v>
      </c>
      <c r="C18" s="583"/>
      <c r="D18" s="584"/>
      <c r="E18" s="583"/>
      <c r="F18" s="585">
        <v>0</v>
      </c>
      <c r="G18" s="585">
        <v>-3</v>
      </c>
      <c r="H18" s="585">
        <f>H17-G17</f>
        <v>-11</v>
      </c>
      <c r="I18" s="585">
        <f t="shared" ref="I18:Q18" si="1">I17-H17</f>
        <v>-2</v>
      </c>
      <c r="J18" s="585">
        <f t="shared" si="1"/>
        <v>-3</v>
      </c>
      <c r="K18" s="585">
        <f t="shared" si="1"/>
        <v>-541</v>
      </c>
      <c r="L18" s="585">
        <f t="shared" si="1"/>
        <v>0</v>
      </c>
      <c r="M18" s="585">
        <f t="shared" si="1"/>
        <v>0</v>
      </c>
      <c r="N18" s="585">
        <f t="shared" si="1"/>
        <v>0</v>
      </c>
      <c r="O18" s="585">
        <f t="shared" si="1"/>
        <v>0</v>
      </c>
      <c r="P18" s="585">
        <f t="shared" si="1"/>
        <v>0</v>
      </c>
      <c r="Q18" s="585">
        <f t="shared" si="1"/>
        <v>0</v>
      </c>
    </row>
    <row r="19" spans="1:17" x14ac:dyDescent="0.15">
      <c r="B19" s="204"/>
      <c r="C19" s="204"/>
      <c r="E19" s="204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</row>
    <row r="20" spans="1:17" x14ac:dyDescent="0.15">
      <c r="B20" s="204" t="s">
        <v>471</v>
      </c>
      <c r="C20" s="204"/>
      <c r="D20" s="579">
        <v>1</v>
      </c>
      <c r="E20" s="204"/>
      <c r="F20" s="580">
        <v>1</v>
      </c>
      <c r="G20" s="580">
        <v>3</v>
      </c>
      <c r="H20" s="580">
        <v>3</v>
      </c>
      <c r="I20" s="580">
        <v>1</v>
      </c>
      <c r="J20" s="580">
        <v>1</v>
      </c>
      <c r="K20" s="580">
        <v>0</v>
      </c>
      <c r="L20" s="580">
        <v>0</v>
      </c>
      <c r="M20" s="580">
        <v>0</v>
      </c>
      <c r="N20" s="580">
        <v>0</v>
      </c>
      <c r="O20" s="580">
        <v>0</v>
      </c>
      <c r="P20" s="580">
        <v>0</v>
      </c>
      <c r="Q20" s="580">
        <v>0</v>
      </c>
    </row>
    <row r="21" spans="1:17" s="563" customFormat="1" x14ac:dyDescent="0.15">
      <c r="A21" s="587"/>
      <c r="B21" s="180" t="s">
        <v>472</v>
      </c>
      <c r="C21" s="180"/>
      <c r="D21" s="581">
        <f>SUM(D17+D20)</f>
        <v>561</v>
      </c>
      <c r="E21" s="180"/>
      <c r="F21" s="581">
        <f>SUM(F17+F18+F20)</f>
        <v>561</v>
      </c>
      <c r="G21" s="581">
        <f t="shared" ref="G21:Q21" si="2">SUM(G17+G18+G20)</f>
        <v>557</v>
      </c>
      <c r="H21" s="581">
        <f t="shared" si="2"/>
        <v>538</v>
      </c>
      <c r="I21" s="581">
        <f t="shared" si="2"/>
        <v>543</v>
      </c>
      <c r="J21" s="581">
        <f t="shared" si="2"/>
        <v>539</v>
      </c>
      <c r="K21" s="581">
        <f t="shared" si="2"/>
        <v>-541</v>
      </c>
      <c r="L21" s="581">
        <f t="shared" si="2"/>
        <v>0</v>
      </c>
      <c r="M21" s="581">
        <f t="shared" si="2"/>
        <v>0</v>
      </c>
      <c r="N21" s="581">
        <f t="shared" si="2"/>
        <v>0</v>
      </c>
      <c r="O21" s="581">
        <f t="shared" si="2"/>
        <v>0</v>
      </c>
      <c r="P21" s="581">
        <f t="shared" si="2"/>
        <v>0</v>
      </c>
      <c r="Q21" s="581">
        <f t="shared" si="2"/>
        <v>0</v>
      </c>
    </row>
    <row r="22" spans="1:17" x14ac:dyDescent="0.15"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</row>
    <row r="23" spans="1:17" s="563" customFormat="1" x14ac:dyDescent="0.15">
      <c r="A23" s="587"/>
      <c r="B23" s="775" t="s">
        <v>473</v>
      </c>
      <c r="C23" s="775"/>
      <c r="D23" s="776">
        <v>16</v>
      </c>
      <c r="E23" s="775"/>
      <c r="F23" s="776">
        <v>22</v>
      </c>
      <c r="G23" s="776">
        <v>25</v>
      </c>
      <c r="H23" s="776">
        <v>25</v>
      </c>
      <c r="I23" s="776">
        <v>25</v>
      </c>
      <c r="J23" s="776">
        <v>24</v>
      </c>
      <c r="K23" s="776">
        <v>0</v>
      </c>
      <c r="L23" s="776">
        <v>0</v>
      </c>
      <c r="M23" s="776">
        <v>0</v>
      </c>
      <c r="N23" s="776">
        <v>0</v>
      </c>
      <c r="O23" s="776">
        <v>0</v>
      </c>
      <c r="P23" s="776">
        <v>0</v>
      </c>
      <c r="Q23" s="776">
        <v>0</v>
      </c>
    </row>
    <row r="24" spans="1:17" x14ac:dyDescent="0.15"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</row>
    <row r="25" spans="1:17" x14ac:dyDescent="0.15"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</row>
    <row r="26" spans="1:17" x14ac:dyDescent="0.15"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</row>
    <row r="27" spans="1:17" s="590" customFormat="1" ht="10.199999999999999" x14ac:dyDescent="0.2">
      <c r="A27" s="574"/>
      <c r="B27" s="575" t="s">
        <v>474</v>
      </c>
      <c r="C27" s="575"/>
      <c r="D27" s="589"/>
      <c r="E27" s="575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</row>
    <row r="28" spans="1:17" x14ac:dyDescent="0.15"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</row>
    <row r="29" spans="1:17" x14ac:dyDescent="0.15">
      <c r="B29" s="505" t="s">
        <v>475</v>
      </c>
      <c r="D29" s="579">
        <v>0</v>
      </c>
      <c r="F29" s="588">
        <v>-1</v>
      </c>
      <c r="G29" s="588">
        <v>-3</v>
      </c>
      <c r="H29" s="588">
        <v>-8</v>
      </c>
      <c r="I29" s="588">
        <v>-2</v>
      </c>
      <c r="J29" s="588">
        <v>-3</v>
      </c>
      <c r="K29" s="588">
        <v>0</v>
      </c>
      <c r="L29" s="588">
        <v>0</v>
      </c>
      <c r="M29" s="588">
        <v>0</v>
      </c>
      <c r="N29" s="588">
        <v>0</v>
      </c>
      <c r="O29" s="588">
        <v>0</v>
      </c>
      <c r="P29" s="588">
        <v>0</v>
      </c>
      <c r="Q29" s="588">
        <v>0</v>
      </c>
    </row>
    <row r="30" spans="1:17" x14ac:dyDescent="0.15">
      <c r="B30" s="505" t="s">
        <v>476</v>
      </c>
      <c r="D30" s="579">
        <v>0</v>
      </c>
      <c r="F30" s="588">
        <v>0</v>
      </c>
      <c r="G30" s="588">
        <v>0</v>
      </c>
      <c r="H30" s="588">
        <v>1</v>
      </c>
      <c r="I30" s="588">
        <v>0</v>
      </c>
      <c r="J30" s="588">
        <v>0</v>
      </c>
      <c r="K30" s="588">
        <v>0</v>
      </c>
      <c r="L30" s="588">
        <v>0</v>
      </c>
      <c r="M30" s="588">
        <v>0</v>
      </c>
      <c r="N30" s="588">
        <v>0</v>
      </c>
      <c r="O30" s="588">
        <v>0</v>
      </c>
      <c r="P30" s="588">
        <v>0</v>
      </c>
      <c r="Q30" s="588">
        <v>0</v>
      </c>
    </row>
    <row r="31" spans="1:17" x14ac:dyDescent="0.15">
      <c r="B31" s="505" t="s">
        <v>477</v>
      </c>
      <c r="D31" s="579">
        <v>0</v>
      </c>
      <c r="F31" s="588">
        <f>D14-F14</f>
        <v>-1</v>
      </c>
      <c r="G31" s="588">
        <v>0</v>
      </c>
      <c r="H31" s="588">
        <v>0</v>
      </c>
      <c r="I31" s="588">
        <v>0</v>
      </c>
      <c r="J31" s="588">
        <v>0</v>
      </c>
      <c r="K31" s="588">
        <v>0</v>
      </c>
      <c r="L31" s="588">
        <v>0</v>
      </c>
      <c r="M31" s="588">
        <v>0</v>
      </c>
      <c r="N31" s="588">
        <v>0</v>
      </c>
      <c r="O31" s="588">
        <v>0</v>
      </c>
      <c r="P31" s="588">
        <v>0</v>
      </c>
      <c r="Q31" s="588">
        <v>0</v>
      </c>
    </row>
    <row r="32" spans="1:17" x14ac:dyDescent="0.15">
      <c r="B32" s="505" t="s">
        <v>478</v>
      </c>
      <c r="D32" s="579">
        <v>0</v>
      </c>
      <c r="F32" s="588">
        <v>0</v>
      </c>
      <c r="G32" s="588">
        <v>0</v>
      </c>
      <c r="H32" s="588">
        <v>-2</v>
      </c>
      <c r="I32" s="588">
        <v>0</v>
      </c>
      <c r="J32" s="588">
        <v>0</v>
      </c>
      <c r="K32" s="588">
        <v>0</v>
      </c>
      <c r="L32" s="588">
        <v>0</v>
      </c>
      <c r="M32" s="588">
        <v>0</v>
      </c>
      <c r="N32" s="588">
        <v>0</v>
      </c>
      <c r="O32" s="588">
        <v>0</v>
      </c>
      <c r="P32" s="588">
        <v>0</v>
      </c>
      <c r="Q32" s="588">
        <v>0</v>
      </c>
    </row>
    <row r="33" spans="1:17" x14ac:dyDescent="0.15">
      <c r="B33" s="505" t="s">
        <v>479</v>
      </c>
      <c r="D33" s="579">
        <v>0</v>
      </c>
      <c r="F33" s="588">
        <v>0</v>
      </c>
      <c r="G33" s="588">
        <v>0</v>
      </c>
      <c r="H33" s="588">
        <v>-2</v>
      </c>
      <c r="I33" s="588">
        <v>0</v>
      </c>
      <c r="J33" s="588">
        <v>0</v>
      </c>
      <c r="K33" s="588">
        <v>0</v>
      </c>
      <c r="L33" s="588">
        <v>0</v>
      </c>
      <c r="M33" s="588">
        <v>0</v>
      </c>
      <c r="N33" s="588">
        <v>0</v>
      </c>
      <c r="O33" s="588">
        <v>0</v>
      </c>
      <c r="P33" s="588">
        <v>0</v>
      </c>
      <c r="Q33" s="588">
        <v>0</v>
      </c>
    </row>
    <row r="34" spans="1:17" s="563" customFormat="1" x14ac:dyDescent="0.15">
      <c r="A34" s="587"/>
      <c r="B34" s="205" t="s">
        <v>472</v>
      </c>
      <c r="C34" s="205"/>
      <c r="D34" s="591">
        <f>SUM(D29:D33)</f>
        <v>0</v>
      </c>
      <c r="E34" s="205"/>
      <c r="F34" s="592">
        <f>SUM(F29:F33)</f>
        <v>-2</v>
      </c>
      <c r="G34" s="592">
        <f t="shared" ref="G34:Q34" si="3">SUM(G29:G33)</f>
        <v>-3</v>
      </c>
      <c r="H34" s="592">
        <v>-13</v>
      </c>
      <c r="I34" s="592">
        <f t="shared" si="3"/>
        <v>-2</v>
      </c>
      <c r="J34" s="592">
        <f t="shared" si="3"/>
        <v>-3</v>
      </c>
      <c r="K34" s="592">
        <f t="shared" si="3"/>
        <v>0</v>
      </c>
      <c r="L34" s="592">
        <f t="shared" si="3"/>
        <v>0</v>
      </c>
      <c r="M34" s="592">
        <f t="shared" si="3"/>
        <v>0</v>
      </c>
      <c r="N34" s="592">
        <f t="shared" si="3"/>
        <v>0</v>
      </c>
      <c r="O34" s="592">
        <f t="shared" si="3"/>
        <v>0</v>
      </c>
      <c r="P34" s="592">
        <f t="shared" si="3"/>
        <v>0</v>
      </c>
      <c r="Q34" s="592">
        <f t="shared" si="3"/>
        <v>0</v>
      </c>
    </row>
    <row r="35" spans="1:17" x14ac:dyDescent="0.15"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</row>
    <row r="36" spans="1:17" x14ac:dyDescent="0.15"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</row>
    <row r="37" spans="1:17" x14ac:dyDescent="0.15"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</row>
    <row r="38" spans="1:17" s="590" customFormat="1" ht="10.199999999999999" x14ac:dyDescent="0.2">
      <c r="A38" s="574"/>
      <c r="B38" s="575" t="s">
        <v>480</v>
      </c>
      <c r="C38" s="575"/>
      <c r="D38" s="589"/>
      <c r="E38" s="575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</row>
    <row r="39" spans="1:17" x14ac:dyDescent="0.15"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</row>
    <row r="40" spans="1:17" x14ac:dyDescent="0.15">
      <c r="B40" s="505" t="s">
        <v>481</v>
      </c>
      <c r="D40" s="579">
        <v>0</v>
      </c>
      <c r="F40" s="571">
        <v>0</v>
      </c>
      <c r="G40" s="571">
        <v>0</v>
      </c>
      <c r="H40" s="571">
        <v>0</v>
      </c>
      <c r="I40" s="571">
        <v>0</v>
      </c>
      <c r="J40" s="571">
        <v>0</v>
      </c>
      <c r="K40" s="571">
        <v>0</v>
      </c>
      <c r="L40" s="571">
        <v>0</v>
      </c>
      <c r="M40" s="571">
        <v>0</v>
      </c>
      <c r="N40" s="571">
        <v>0</v>
      </c>
      <c r="O40" s="571">
        <v>0</v>
      </c>
      <c r="P40" s="571">
        <v>0</v>
      </c>
      <c r="Q40" s="571">
        <v>0</v>
      </c>
    </row>
    <row r="41" spans="1:17" x14ac:dyDescent="0.15">
      <c r="B41" s="505" t="s">
        <v>482</v>
      </c>
      <c r="D41" s="579">
        <v>0</v>
      </c>
      <c r="F41" s="571">
        <v>0</v>
      </c>
      <c r="G41" s="571">
        <v>0</v>
      </c>
      <c r="H41" s="571">
        <v>0</v>
      </c>
      <c r="I41" s="571">
        <v>0</v>
      </c>
      <c r="J41" s="571">
        <v>0</v>
      </c>
      <c r="K41" s="571">
        <v>0</v>
      </c>
      <c r="L41" s="571">
        <v>0</v>
      </c>
      <c r="M41" s="571">
        <v>0</v>
      </c>
      <c r="N41" s="571">
        <v>0</v>
      </c>
      <c r="O41" s="571">
        <v>0</v>
      </c>
      <c r="P41" s="571">
        <v>0</v>
      </c>
      <c r="Q41" s="571">
        <v>0</v>
      </c>
    </row>
    <row r="42" spans="1:17" x14ac:dyDescent="0.15">
      <c r="B42" s="505" t="s">
        <v>483</v>
      </c>
      <c r="D42" s="579">
        <v>0</v>
      </c>
      <c r="F42" s="571">
        <v>0</v>
      </c>
      <c r="G42" s="571">
        <v>0</v>
      </c>
      <c r="H42" s="571">
        <v>0</v>
      </c>
      <c r="I42" s="571">
        <v>0</v>
      </c>
      <c r="J42" s="571">
        <v>0</v>
      </c>
      <c r="K42" s="571">
        <v>0</v>
      </c>
      <c r="L42" s="571">
        <v>0</v>
      </c>
      <c r="M42" s="571">
        <v>0</v>
      </c>
      <c r="N42" s="571">
        <v>0</v>
      </c>
      <c r="O42" s="571">
        <v>0</v>
      </c>
      <c r="P42" s="571">
        <v>0</v>
      </c>
      <c r="Q42" s="571">
        <v>0</v>
      </c>
    </row>
    <row r="43" spans="1:17" x14ac:dyDescent="0.15">
      <c r="B43" s="505" t="s">
        <v>484</v>
      </c>
      <c r="D43" s="579">
        <v>0</v>
      </c>
      <c r="F43" s="571">
        <v>0</v>
      </c>
      <c r="G43" s="571">
        <v>0</v>
      </c>
      <c r="H43" s="571">
        <v>4</v>
      </c>
      <c r="I43" s="571"/>
      <c r="J43" s="571">
        <v>0</v>
      </c>
      <c r="K43" s="571">
        <v>0</v>
      </c>
      <c r="L43" s="571">
        <v>0</v>
      </c>
      <c r="M43" s="571">
        <v>0</v>
      </c>
      <c r="N43" s="571">
        <v>0</v>
      </c>
      <c r="O43" s="571">
        <v>0</v>
      </c>
      <c r="P43" s="571">
        <v>0</v>
      </c>
      <c r="Q43" s="571">
        <v>0</v>
      </c>
    </row>
    <row r="44" spans="1:17" x14ac:dyDescent="0.15">
      <c r="B44" s="505" t="s">
        <v>485</v>
      </c>
      <c r="D44" s="579">
        <v>0</v>
      </c>
      <c r="F44" s="571">
        <v>0</v>
      </c>
      <c r="G44" s="571">
        <v>0</v>
      </c>
      <c r="H44" s="571">
        <v>0</v>
      </c>
      <c r="I44" s="571">
        <v>0</v>
      </c>
      <c r="J44" s="571">
        <v>0</v>
      </c>
      <c r="K44" s="571">
        <v>0</v>
      </c>
      <c r="L44" s="571">
        <v>0</v>
      </c>
      <c r="M44" s="571">
        <v>0</v>
      </c>
      <c r="N44" s="571">
        <v>0</v>
      </c>
      <c r="O44" s="571">
        <v>0</v>
      </c>
      <c r="P44" s="571">
        <v>0</v>
      </c>
      <c r="Q44" s="571">
        <v>0</v>
      </c>
    </row>
    <row r="45" spans="1:17" x14ac:dyDescent="0.15">
      <c r="B45" s="505" t="s">
        <v>486</v>
      </c>
      <c r="D45" s="579">
        <v>0</v>
      </c>
      <c r="F45" s="571">
        <v>0</v>
      </c>
      <c r="G45" s="571">
        <v>0</v>
      </c>
      <c r="H45" s="571">
        <v>0</v>
      </c>
      <c r="I45" s="571">
        <v>0</v>
      </c>
      <c r="J45" s="571">
        <v>0</v>
      </c>
      <c r="K45" s="571">
        <v>0</v>
      </c>
      <c r="L45" s="571">
        <v>0</v>
      </c>
      <c r="M45" s="571">
        <v>0</v>
      </c>
      <c r="N45" s="571">
        <v>0</v>
      </c>
      <c r="O45" s="571">
        <v>0</v>
      </c>
      <c r="P45" s="571">
        <v>0</v>
      </c>
      <c r="Q45" s="571">
        <v>0</v>
      </c>
    </row>
    <row r="46" spans="1:17" x14ac:dyDescent="0.15">
      <c r="B46" s="505" t="s">
        <v>487</v>
      </c>
      <c r="D46" s="579">
        <v>3</v>
      </c>
      <c r="F46" s="571">
        <v>0</v>
      </c>
      <c r="G46" s="571">
        <v>0</v>
      </c>
      <c r="H46" s="571">
        <v>0</v>
      </c>
      <c r="I46" s="571">
        <v>0</v>
      </c>
      <c r="J46" s="571">
        <v>0</v>
      </c>
      <c r="K46" s="571">
        <v>0</v>
      </c>
      <c r="L46" s="571">
        <v>0</v>
      </c>
      <c r="M46" s="571">
        <v>0</v>
      </c>
      <c r="N46" s="571">
        <v>0</v>
      </c>
      <c r="O46" s="571">
        <v>0</v>
      </c>
      <c r="P46" s="571">
        <v>0</v>
      </c>
      <c r="Q46" s="571">
        <v>0</v>
      </c>
    </row>
    <row r="47" spans="1:17" x14ac:dyDescent="0.15">
      <c r="B47" s="505" t="s">
        <v>488</v>
      </c>
      <c r="D47" s="579">
        <v>2</v>
      </c>
      <c r="F47" s="571">
        <v>0</v>
      </c>
      <c r="G47" s="571">
        <v>0</v>
      </c>
      <c r="H47" s="571">
        <v>0</v>
      </c>
      <c r="I47" s="571">
        <v>0</v>
      </c>
      <c r="J47" s="571">
        <v>0</v>
      </c>
      <c r="K47" s="571">
        <v>0</v>
      </c>
      <c r="L47" s="571">
        <v>0</v>
      </c>
      <c r="M47" s="571">
        <v>0</v>
      </c>
      <c r="N47" s="571">
        <v>0</v>
      </c>
      <c r="O47" s="571">
        <v>0</v>
      </c>
      <c r="P47" s="571">
        <v>0</v>
      </c>
      <c r="Q47" s="571">
        <v>0</v>
      </c>
    </row>
    <row r="48" spans="1:17" x14ac:dyDescent="0.15">
      <c r="B48" s="505" t="s">
        <v>489</v>
      </c>
      <c r="D48" s="579">
        <v>4</v>
      </c>
      <c r="F48" s="571">
        <v>0</v>
      </c>
      <c r="G48" s="571">
        <v>0</v>
      </c>
      <c r="H48" s="571">
        <v>0</v>
      </c>
      <c r="I48" s="571">
        <v>0</v>
      </c>
      <c r="J48" s="571">
        <v>0</v>
      </c>
      <c r="K48" s="571">
        <v>0</v>
      </c>
      <c r="L48" s="571">
        <v>0</v>
      </c>
      <c r="M48" s="571">
        <v>0</v>
      </c>
      <c r="N48" s="571">
        <v>0</v>
      </c>
      <c r="O48" s="571">
        <v>0</v>
      </c>
      <c r="P48" s="571">
        <v>0</v>
      </c>
      <c r="Q48" s="571">
        <v>0</v>
      </c>
    </row>
    <row r="49" spans="1:17" x14ac:dyDescent="0.15">
      <c r="B49" s="505" t="s">
        <v>490</v>
      </c>
      <c r="D49" s="579">
        <v>0</v>
      </c>
      <c r="F49" s="571">
        <v>0</v>
      </c>
      <c r="G49" s="571">
        <v>0</v>
      </c>
      <c r="H49" s="571">
        <v>0</v>
      </c>
      <c r="I49" s="571">
        <v>0</v>
      </c>
      <c r="J49" s="571">
        <v>0</v>
      </c>
      <c r="K49" s="571">
        <v>0</v>
      </c>
      <c r="L49" s="571">
        <v>0</v>
      </c>
      <c r="M49" s="571">
        <v>0</v>
      </c>
      <c r="N49" s="571">
        <v>0</v>
      </c>
      <c r="O49" s="571">
        <v>0</v>
      </c>
      <c r="P49" s="571">
        <v>0</v>
      </c>
      <c r="Q49" s="571">
        <v>0</v>
      </c>
    </row>
    <row r="50" spans="1:17" x14ac:dyDescent="0.15">
      <c r="B50" s="505" t="s">
        <v>491</v>
      </c>
      <c r="D50" s="579">
        <v>0</v>
      </c>
      <c r="F50" s="571">
        <v>0</v>
      </c>
      <c r="G50" s="571">
        <v>0</v>
      </c>
      <c r="H50" s="571">
        <v>0</v>
      </c>
      <c r="I50" s="571">
        <v>0</v>
      </c>
      <c r="J50" s="571">
        <v>0</v>
      </c>
      <c r="K50" s="571">
        <v>0</v>
      </c>
      <c r="L50" s="571">
        <v>0</v>
      </c>
      <c r="M50" s="571">
        <v>0</v>
      </c>
      <c r="N50" s="571">
        <v>0</v>
      </c>
      <c r="O50" s="571">
        <v>0</v>
      </c>
      <c r="P50" s="571">
        <v>0</v>
      </c>
      <c r="Q50" s="571">
        <v>0</v>
      </c>
    </row>
    <row r="51" spans="1:17" x14ac:dyDescent="0.15">
      <c r="B51" s="505" t="s">
        <v>492</v>
      </c>
      <c r="D51" s="579">
        <v>0</v>
      </c>
      <c r="F51" s="571">
        <v>0</v>
      </c>
      <c r="G51" s="571">
        <v>0</v>
      </c>
      <c r="H51" s="571">
        <v>0</v>
      </c>
      <c r="I51" s="571">
        <v>0</v>
      </c>
      <c r="J51" s="571">
        <v>0</v>
      </c>
      <c r="K51" s="571">
        <v>0</v>
      </c>
      <c r="L51" s="571">
        <v>0</v>
      </c>
      <c r="M51" s="571">
        <v>0</v>
      </c>
      <c r="N51" s="571">
        <v>0</v>
      </c>
      <c r="O51" s="571">
        <v>0</v>
      </c>
      <c r="P51" s="571">
        <v>0</v>
      </c>
      <c r="Q51" s="571">
        <v>0</v>
      </c>
    </row>
    <row r="52" spans="1:17" s="563" customFormat="1" x14ac:dyDescent="0.15">
      <c r="A52" s="587"/>
      <c r="B52" s="205" t="s">
        <v>493</v>
      </c>
      <c r="C52" s="205"/>
      <c r="D52" s="591">
        <f>SUM(D40:D51)</f>
        <v>9</v>
      </c>
      <c r="E52" s="205"/>
      <c r="F52" s="591">
        <f>SUM(F40:F51)</f>
        <v>0</v>
      </c>
      <c r="G52" s="591">
        <f t="shared" ref="G52:Q52" si="4">SUM(G40:G51)</f>
        <v>0</v>
      </c>
      <c r="H52" s="591">
        <f t="shared" si="4"/>
        <v>4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1">
        <f t="shared" si="4"/>
        <v>0</v>
      </c>
      <c r="N52" s="591">
        <f t="shared" si="4"/>
        <v>0</v>
      </c>
      <c r="O52" s="591">
        <f t="shared" si="4"/>
        <v>0</v>
      </c>
      <c r="P52" s="591">
        <f t="shared" si="4"/>
        <v>0</v>
      </c>
      <c r="Q52" s="591">
        <f t="shared" si="4"/>
        <v>0</v>
      </c>
    </row>
    <row r="53" spans="1:17" x14ac:dyDescent="0.15">
      <c r="F53" s="593"/>
      <c r="G53" s="594"/>
      <c r="H53" s="594"/>
      <c r="I53" s="594"/>
      <c r="J53" s="594"/>
      <c r="K53" s="594"/>
      <c r="L53" s="588"/>
      <c r="M53" s="594"/>
      <c r="N53" s="594"/>
      <c r="O53" s="594"/>
      <c r="P53" s="594"/>
      <c r="Q53" s="594"/>
    </row>
    <row r="54" spans="1:17" x14ac:dyDescent="0.15">
      <c r="F54" s="593"/>
      <c r="G54" s="594"/>
      <c r="H54" s="594"/>
      <c r="I54" s="594"/>
      <c r="J54" s="594"/>
      <c r="K54" s="594"/>
      <c r="L54" s="588"/>
      <c r="M54" s="594"/>
      <c r="N54" s="594"/>
      <c r="O54" s="594"/>
      <c r="P54" s="594"/>
      <c r="Q54" s="594"/>
    </row>
    <row r="55" spans="1:17" x14ac:dyDescent="0.15">
      <c r="B55" s="595"/>
      <c r="F55" s="596"/>
      <c r="G55" s="596"/>
      <c r="H55" s="597"/>
      <c r="P55" s="561"/>
      <c r="Q55" s="599"/>
    </row>
  </sheetData>
  <mergeCells count="1">
    <mergeCell ref="B3:C3"/>
  </mergeCells>
  <pageMargins left="0.3" right="0.25" top="0.35" bottom="0.4" header="0.4" footer="0.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2654-9BE1-47D4-8CD3-CF9898BE9291}">
  <sheetPr>
    <tabColor rgb="FF7030A0"/>
  </sheetPr>
  <dimension ref="A1:K69"/>
  <sheetViews>
    <sheetView zoomScale="130" zoomScaleNormal="130" zoomScaleSheetLayoutView="145" workbookViewId="0">
      <selection activeCell="D18" sqref="D18"/>
    </sheetView>
  </sheetViews>
  <sheetFormatPr defaultColWidth="14.140625" defaultRowHeight="7.8" x14ac:dyDescent="0.15"/>
  <cols>
    <col min="1" max="1" width="2.42578125" style="561" customWidth="1"/>
    <col min="2" max="2" width="4.28515625" style="587" customWidth="1"/>
    <col min="3" max="3" width="34.42578125" style="505" customWidth="1"/>
    <col min="4" max="4" width="9.85546875" style="563" customWidth="1"/>
    <col min="5" max="5" width="13" style="505" bestFit="1" customWidth="1"/>
    <col min="6" max="6" width="13" style="605" bestFit="1" customWidth="1"/>
    <col min="7" max="7" width="20" style="505" bestFit="1" customWidth="1"/>
    <col min="8" max="8" width="9.28515625" style="561" customWidth="1"/>
    <col min="9" max="16384" width="14.140625" style="505"/>
  </cols>
  <sheetData>
    <row r="1" spans="1:8" s="550" customFormat="1" x14ac:dyDescent="0.15">
      <c r="A1" s="602"/>
      <c r="B1" s="544"/>
      <c r="C1" s="544"/>
      <c r="D1" s="603"/>
      <c r="F1" s="604"/>
      <c r="H1" s="716"/>
    </row>
    <row r="2" spans="1:8" s="694" customFormat="1" ht="12" x14ac:dyDescent="0.25">
      <c r="A2" s="692"/>
      <c r="B2" s="693"/>
      <c r="C2" s="693" t="s">
        <v>494</v>
      </c>
      <c r="F2" s="695"/>
      <c r="H2" s="692"/>
    </row>
    <row r="3" spans="1:8" s="698" customFormat="1" ht="10.199999999999999" x14ac:dyDescent="0.2">
      <c r="A3" s="696"/>
      <c r="B3" s="697"/>
      <c r="C3" s="697">
        <v>45323</v>
      </c>
      <c r="F3" s="699"/>
      <c r="G3" s="696"/>
      <c r="H3" s="696"/>
    </row>
    <row r="6" spans="1:8" x14ac:dyDescent="0.15">
      <c r="B6" s="571"/>
    </row>
    <row r="7" spans="1:8" s="690" customFormat="1" ht="10.199999999999999" x14ac:dyDescent="0.2">
      <c r="A7" s="689"/>
      <c r="B7" s="689"/>
      <c r="C7" s="690" t="s">
        <v>678</v>
      </c>
      <c r="F7" s="691"/>
      <c r="H7" s="689"/>
    </row>
    <row r="8" spans="1:8" s="563" customFormat="1" ht="15.6" x14ac:dyDescent="0.15">
      <c r="A8" s="587"/>
      <c r="B8" s="587"/>
      <c r="D8" s="606" t="s">
        <v>667</v>
      </c>
      <c r="E8" s="607" t="s">
        <v>495</v>
      </c>
      <c r="F8" s="607" t="s">
        <v>496</v>
      </c>
      <c r="G8" s="606" t="s">
        <v>497</v>
      </c>
      <c r="H8" s="606"/>
    </row>
    <row r="11" spans="1:8" s="612" customFormat="1" x14ac:dyDescent="0.15">
      <c r="A11" s="608"/>
      <c r="B11" s="609" t="s">
        <v>498</v>
      </c>
      <c r="C11" s="714" t="s">
        <v>499</v>
      </c>
      <c r="D11" s="715" t="s">
        <v>668</v>
      </c>
      <c r="E11" s="715" t="s">
        <v>501</v>
      </c>
      <c r="F11" s="715" t="s">
        <v>669</v>
      </c>
      <c r="G11" s="611" t="str">
        <f t="shared" ref="G11:G40" si="0">DATEDIF(E11,F11,"y")&amp;" years, "&amp;DATEDIF(E11,F11,"ym")&amp;" months, "&amp;DATEDIF(E11,F11,"md")&amp; " days"</f>
        <v>26 years, 10 months, 20 days</v>
      </c>
      <c r="H11" s="717"/>
    </row>
    <row r="12" spans="1:8" s="612" customFormat="1" x14ac:dyDescent="0.15">
      <c r="A12" s="608"/>
      <c r="B12" s="609" t="s">
        <v>502</v>
      </c>
      <c r="C12" s="714" t="s">
        <v>503</v>
      </c>
      <c r="D12" s="715" t="s">
        <v>670</v>
      </c>
      <c r="E12" s="715" t="s">
        <v>504</v>
      </c>
      <c r="F12" s="715" t="s">
        <v>669</v>
      </c>
      <c r="G12" s="611" t="str">
        <f t="shared" si="0"/>
        <v>26 years, 9 months, 15 days</v>
      </c>
      <c r="H12" s="717"/>
    </row>
    <row r="13" spans="1:8" s="612" customFormat="1" x14ac:dyDescent="0.15">
      <c r="A13" s="608"/>
      <c r="B13" s="609" t="s">
        <v>505</v>
      </c>
      <c r="C13" s="714" t="s">
        <v>506</v>
      </c>
      <c r="D13" s="715" t="s">
        <v>671</v>
      </c>
      <c r="E13" s="715" t="s">
        <v>504</v>
      </c>
      <c r="F13" s="715" t="s">
        <v>669</v>
      </c>
      <c r="G13" s="611" t="str">
        <f t="shared" si="0"/>
        <v>26 years, 9 months, 15 days</v>
      </c>
      <c r="H13" s="717"/>
    </row>
    <row r="14" spans="1:8" s="612" customFormat="1" x14ac:dyDescent="0.15">
      <c r="A14" s="608"/>
      <c r="B14" s="609" t="s">
        <v>508</v>
      </c>
      <c r="C14" s="714" t="s">
        <v>509</v>
      </c>
      <c r="D14" s="715" t="s">
        <v>672</v>
      </c>
      <c r="E14" s="715" t="s">
        <v>511</v>
      </c>
      <c r="F14" s="715" t="s">
        <v>669</v>
      </c>
      <c r="G14" s="611" t="str">
        <f t="shared" si="0"/>
        <v>26 years, 8 months, 18 days</v>
      </c>
      <c r="H14" s="717"/>
    </row>
    <row r="15" spans="1:8" s="612" customFormat="1" x14ac:dyDescent="0.15">
      <c r="A15" s="608"/>
      <c r="B15" s="609" t="s">
        <v>512</v>
      </c>
      <c r="C15" s="714" t="s">
        <v>513</v>
      </c>
      <c r="D15" s="715" t="s">
        <v>673</v>
      </c>
      <c r="E15" s="715" t="s">
        <v>511</v>
      </c>
      <c r="F15" s="715" t="s">
        <v>669</v>
      </c>
      <c r="G15" s="611" t="str">
        <f t="shared" si="0"/>
        <v>26 years, 8 months, 18 days</v>
      </c>
      <c r="H15" s="717"/>
    </row>
    <row r="16" spans="1:8" s="612" customFormat="1" x14ac:dyDescent="0.15">
      <c r="A16" s="608"/>
      <c r="B16" s="609" t="s">
        <v>515</v>
      </c>
      <c r="C16" s="714" t="s">
        <v>516</v>
      </c>
      <c r="D16" s="715" t="s">
        <v>674</v>
      </c>
      <c r="E16" s="715" t="s">
        <v>511</v>
      </c>
      <c r="F16" s="715" t="s">
        <v>669</v>
      </c>
      <c r="G16" s="611" t="str">
        <f t="shared" si="0"/>
        <v>26 years, 8 months, 18 days</v>
      </c>
      <c r="H16" s="717"/>
    </row>
    <row r="17" spans="1:11" s="612" customFormat="1" x14ac:dyDescent="0.15">
      <c r="A17" s="608"/>
      <c r="B17" s="609" t="s">
        <v>518</v>
      </c>
      <c r="C17" s="714" t="s">
        <v>519</v>
      </c>
      <c r="D17" s="715" t="s">
        <v>500</v>
      </c>
      <c r="E17" s="715" t="s">
        <v>521</v>
      </c>
      <c r="F17" s="715" t="s">
        <v>669</v>
      </c>
      <c r="G17" s="611" t="str">
        <f t="shared" si="0"/>
        <v>26 years, 8 months, 4 days</v>
      </c>
      <c r="H17" s="717"/>
    </row>
    <row r="18" spans="1:11" s="612" customFormat="1" x14ac:dyDescent="0.15">
      <c r="A18" s="608"/>
      <c r="B18" s="609" t="s">
        <v>522</v>
      </c>
      <c r="C18" s="714" t="s">
        <v>523</v>
      </c>
      <c r="D18" s="715" t="s">
        <v>675</v>
      </c>
      <c r="E18" s="715" t="s">
        <v>521</v>
      </c>
      <c r="F18" s="715" t="s">
        <v>669</v>
      </c>
      <c r="G18" s="611" t="str">
        <f t="shared" si="0"/>
        <v>26 years, 8 months, 4 days</v>
      </c>
      <c r="H18" s="722" t="s">
        <v>677</v>
      </c>
    </row>
    <row r="19" spans="1:11" s="612" customFormat="1" x14ac:dyDescent="0.15">
      <c r="A19" s="608"/>
      <c r="B19" s="609" t="s">
        <v>524</v>
      </c>
      <c r="C19" s="714" t="s">
        <v>528</v>
      </c>
      <c r="D19" s="715" t="s">
        <v>507</v>
      </c>
      <c r="E19" s="715" t="s">
        <v>526</v>
      </c>
      <c r="F19" s="715" t="s">
        <v>669</v>
      </c>
      <c r="G19" s="611" t="str">
        <f t="shared" si="0"/>
        <v>26 years, 4 months, 21 days</v>
      </c>
      <c r="H19" s="717"/>
    </row>
    <row r="20" spans="1:11" s="612" customFormat="1" x14ac:dyDescent="0.15">
      <c r="A20" s="608"/>
      <c r="B20" s="609" t="s">
        <v>527</v>
      </c>
      <c r="C20" s="714" t="s">
        <v>531</v>
      </c>
      <c r="D20" s="715" t="s">
        <v>510</v>
      </c>
      <c r="E20" s="715" t="s">
        <v>533</v>
      </c>
      <c r="F20" s="715" t="s">
        <v>669</v>
      </c>
      <c r="G20" s="611" t="str">
        <f t="shared" si="0"/>
        <v>26 years, 3 months, 17 days</v>
      </c>
      <c r="H20" s="717"/>
    </row>
    <row r="21" spans="1:11" s="612" customFormat="1" x14ac:dyDescent="0.15">
      <c r="A21" s="608"/>
      <c r="B21" s="609" t="s">
        <v>530</v>
      </c>
      <c r="C21" s="714" t="s">
        <v>535</v>
      </c>
      <c r="D21" s="715" t="s">
        <v>514</v>
      </c>
      <c r="E21" s="715" t="s">
        <v>537</v>
      </c>
      <c r="F21" s="715" t="s">
        <v>669</v>
      </c>
      <c r="G21" s="611" t="str">
        <f t="shared" si="0"/>
        <v>26 years, 2 months, 19 days</v>
      </c>
      <c r="H21" s="717"/>
    </row>
    <row r="22" spans="1:11" s="612" customFormat="1" x14ac:dyDescent="0.15">
      <c r="A22" s="608"/>
      <c r="B22" s="609" t="s">
        <v>534</v>
      </c>
      <c r="C22" s="714" t="s">
        <v>539</v>
      </c>
      <c r="D22" s="715" t="s">
        <v>517</v>
      </c>
      <c r="E22" s="715" t="s">
        <v>541</v>
      </c>
      <c r="F22" s="715" t="s">
        <v>669</v>
      </c>
      <c r="G22" s="611" t="str">
        <f t="shared" si="0"/>
        <v>26 years, 1 months, 15 days</v>
      </c>
      <c r="H22" s="717"/>
    </row>
    <row r="23" spans="1:11" s="612" customFormat="1" x14ac:dyDescent="0.15">
      <c r="A23" s="608"/>
      <c r="B23" s="609" t="s">
        <v>538</v>
      </c>
      <c r="C23" s="714" t="s">
        <v>543</v>
      </c>
      <c r="D23" s="715" t="s">
        <v>520</v>
      </c>
      <c r="E23" s="715" t="s">
        <v>545</v>
      </c>
      <c r="F23" s="715" t="s">
        <v>669</v>
      </c>
      <c r="G23" s="611" t="str">
        <f t="shared" si="0"/>
        <v>25 years, 11 months, 18 days</v>
      </c>
      <c r="H23" s="717"/>
    </row>
    <row r="24" spans="1:11" s="612" customFormat="1" x14ac:dyDescent="0.15">
      <c r="A24" s="608"/>
      <c r="B24" s="609" t="s">
        <v>542</v>
      </c>
      <c r="C24" s="714" t="s">
        <v>547</v>
      </c>
      <c r="D24" s="715" t="s">
        <v>525</v>
      </c>
      <c r="E24" s="715" t="s">
        <v>549</v>
      </c>
      <c r="F24" s="715" t="s">
        <v>669</v>
      </c>
      <c r="G24" s="611" t="str">
        <f t="shared" si="0"/>
        <v>25 years, 9 months, 16 days</v>
      </c>
      <c r="H24" s="717"/>
    </row>
    <row r="25" spans="1:11" s="612" customFormat="1" x14ac:dyDescent="0.15">
      <c r="A25" s="608"/>
      <c r="B25" s="609" t="s">
        <v>546</v>
      </c>
      <c r="C25" s="714" t="s">
        <v>551</v>
      </c>
      <c r="D25" s="715" t="s">
        <v>529</v>
      </c>
      <c r="E25" s="715" t="s">
        <v>553</v>
      </c>
      <c r="F25" s="715" t="s">
        <v>669</v>
      </c>
      <c r="G25" s="611" t="str">
        <f t="shared" si="0"/>
        <v>25 years, 8 months, 5 days</v>
      </c>
      <c r="H25" s="717"/>
    </row>
    <row r="26" spans="1:11" s="612" customFormat="1" x14ac:dyDescent="0.15">
      <c r="A26" s="608"/>
      <c r="B26" s="609" t="s">
        <v>550</v>
      </c>
      <c r="C26" s="714" t="s">
        <v>554</v>
      </c>
      <c r="D26" s="715" t="s">
        <v>532</v>
      </c>
      <c r="E26" s="715" t="s">
        <v>556</v>
      </c>
      <c r="F26" s="715" t="s">
        <v>669</v>
      </c>
      <c r="G26" s="611" t="str">
        <f t="shared" si="0"/>
        <v>25 years, 4 months, 15 days</v>
      </c>
      <c r="H26" s="717"/>
    </row>
    <row r="27" spans="1:11" s="612" customFormat="1" x14ac:dyDescent="0.15">
      <c r="A27" s="608"/>
      <c r="B27" s="613">
        <v>18</v>
      </c>
      <c r="C27" s="714" t="s">
        <v>557</v>
      </c>
      <c r="D27" s="715" t="s">
        <v>676</v>
      </c>
      <c r="E27" s="715" t="s">
        <v>556</v>
      </c>
      <c r="F27" s="715" t="s">
        <v>669</v>
      </c>
      <c r="G27" s="611" t="str">
        <f t="shared" si="0"/>
        <v>25 years, 4 months, 15 days</v>
      </c>
      <c r="H27" s="614"/>
      <c r="I27" s="614"/>
      <c r="J27" s="615"/>
      <c r="K27" s="616"/>
    </row>
    <row r="28" spans="1:11" s="612" customFormat="1" x14ac:dyDescent="0.15">
      <c r="A28" s="608"/>
      <c r="B28" s="613">
        <v>19</v>
      </c>
      <c r="C28" s="714" t="s">
        <v>559</v>
      </c>
      <c r="D28" s="715" t="s">
        <v>536</v>
      </c>
      <c r="E28" s="715" t="s">
        <v>556</v>
      </c>
      <c r="F28" s="715" t="s">
        <v>669</v>
      </c>
      <c r="G28" s="611" t="str">
        <f t="shared" si="0"/>
        <v>25 years, 4 months, 15 days</v>
      </c>
      <c r="H28" s="614"/>
      <c r="I28" s="614"/>
      <c r="J28" s="615"/>
      <c r="K28" s="616"/>
    </row>
    <row r="29" spans="1:11" s="612" customFormat="1" x14ac:dyDescent="0.15">
      <c r="A29" s="608"/>
      <c r="B29" s="613">
        <v>20</v>
      </c>
      <c r="C29" s="714" t="s">
        <v>561</v>
      </c>
      <c r="D29" s="715" t="s">
        <v>540</v>
      </c>
      <c r="E29" s="715" t="s">
        <v>556</v>
      </c>
      <c r="F29" s="715" t="s">
        <v>669</v>
      </c>
      <c r="G29" s="611" t="str">
        <f t="shared" si="0"/>
        <v>25 years, 4 months, 15 days</v>
      </c>
      <c r="H29" s="614"/>
      <c r="I29" s="614"/>
      <c r="J29" s="615"/>
      <c r="K29" s="616"/>
    </row>
    <row r="30" spans="1:11" s="612" customFormat="1" x14ac:dyDescent="0.15">
      <c r="A30" s="608"/>
      <c r="B30" s="613">
        <v>21</v>
      </c>
      <c r="C30" s="714" t="s">
        <v>563</v>
      </c>
      <c r="D30" s="715" t="s">
        <v>544</v>
      </c>
      <c r="E30" s="715" t="s">
        <v>556</v>
      </c>
      <c r="F30" s="715" t="s">
        <v>669</v>
      </c>
      <c r="G30" s="611" t="str">
        <f t="shared" si="0"/>
        <v>25 years, 4 months, 15 days</v>
      </c>
      <c r="H30" s="614"/>
      <c r="I30" s="614"/>
      <c r="J30" s="615"/>
      <c r="K30" s="616"/>
    </row>
    <row r="31" spans="1:11" s="612" customFormat="1" x14ac:dyDescent="0.15">
      <c r="A31" s="608"/>
      <c r="B31" s="613">
        <v>22</v>
      </c>
      <c r="C31" s="714" t="s">
        <v>565</v>
      </c>
      <c r="D31" s="715" t="s">
        <v>548</v>
      </c>
      <c r="E31" s="715" t="s">
        <v>567</v>
      </c>
      <c r="F31" s="715" t="s">
        <v>669</v>
      </c>
      <c r="G31" s="611" t="str">
        <f t="shared" si="0"/>
        <v>25 years, 3 months, 18 days</v>
      </c>
      <c r="H31" s="614"/>
      <c r="I31" s="614"/>
      <c r="J31" s="615"/>
      <c r="K31" s="616"/>
    </row>
    <row r="32" spans="1:11" s="612" customFormat="1" x14ac:dyDescent="0.15">
      <c r="A32" s="608"/>
      <c r="B32" s="613">
        <v>23</v>
      </c>
      <c r="C32" s="714" t="s">
        <v>568</v>
      </c>
      <c r="D32" s="715" t="s">
        <v>552</v>
      </c>
      <c r="E32" s="715" t="s">
        <v>567</v>
      </c>
      <c r="F32" s="715" t="s">
        <v>669</v>
      </c>
      <c r="G32" s="611" t="str">
        <f t="shared" si="0"/>
        <v>25 years, 3 months, 18 days</v>
      </c>
      <c r="H32" s="614"/>
      <c r="I32" s="614"/>
      <c r="J32" s="615"/>
      <c r="K32" s="616"/>
    </row>
    <row r="33" spans="1:11" s="612" customFormat="1" x14ac:dyDescent="0.15">
      <c r="A33" s="608"/>
      <c r="B33" s="613">
        <v>24</v>
      </c>
      <c r="C33" s="714" t="s">
        <v>569</v>
      </c>
      <c r="D33" s="715" t="s">
        <v>555</v>
      </c>
      <c r="E33" s="715" t="s">
        <v>567</v>
      </c>
      <c r="F33" s="715" t="s">
        <v>669</v>
      </c>
      <c r="G33" s="611" t="str">
        <f t="shared" si="0"/>
        <v>25 years, 3 months, 18 days</v>
      </c>
      <c r="H33" s="614"/>
      <c r="I33" s="614"/>
      <c r="J33" s="615"/>
      <c r="K33" s="616"/>
    </row>
    <row r="34" spans="1:11" s="612" customFormat="1" x14ac:dyDescent="0.15">
      <c r="A34" s="608"/>
      <c r="B34" s="613"/>
      <c r="C34" s="714"/>
      <c r="D34" s="715"/>
      <c r="E34" s="715"/>
      <c r="F34" s="715"/>
      <c r="G34" s="611"/>
      <c r="H34" s="614"/>
      <c r="I34" s="614"/>
      <c r="J34" s="615"/>
      <c r="K34" s="616"/>
    </row>
    <row r="35" spans="1:11" s="612" customFormat="1" x14ac:dyDescent="0.15">
      <c r="A35" s="608"/>
      <c r="B35" s="613"/>
      <c r="C35" s="714"/>
      <c r="D35" s="715"/>
      <c r="E35" s="715"/>
      <c r="F35" s="715"/>
      <c r="G35" s="611"/>
      <c r="H35" s="614"/>
      <c r="I35" s="614"/>
      <c r="J35" s="615"/>
      <c r="K35" s="616"/>
    </row>
    <row r="36" spans="1:11" s="612" customFormat="1" x14ac:dyDescent="0.15">
      <c r="A36" s="608"/>
      <c r="B36" s="613">
        <v>1</v>
      </c>
      <c r="C36" s="714" t="s">
        <v>570</v>
      </c>
      <c r="D36" s="715" t="s">
        <v>558</v>
      </c>
      <c r="E36" s="715" t="s">
        <v>571</v>
      </c>
      <c r="F36" s="715" t="s">
        <v>669</v>
      </c>
      <c r="G36" s="718" t="str">
        <f t="shared" si="0"/>
        <v>24 years, 4 months, 2 days</v>
      </c>
      <c r="H36" s="614"/>
      <c r="I36" s="614"/>
      <c r="J36" s="615"/>
      <c r="K36" s="616"/>
    </row>
    <row r="37" spans="1:11" s="612" customFormat="1" x14ac:dyDescent="0.15">
      <c r="A37" s="608"/>
      <c r="B37" s="613">
        <v>2</v>
      </c>
      <c r="C37" s="714" t="s">
        <v>574</v>
      </c>
      <c r="D37" s="715" t="s">
        <v>562</v>
      </c>
      <c r="E37" s="715" t="s">
        <v>571</v>
      </c>
      <c r="F37" s="715" t="s">
        <v>669</v>
      </c>
      <c r="G37" s="718" t="str">
        <f t="shared" si="0"/>
        <v>24 years, 4 months, 2 days</v>
      </c>
      <c r="H37" s="614"/>
      <c r="I37" s="614"/>
      <c r="J37" s="615"/>
      <c r="K37" s="616"/>
    </row>
    <row r="38" spans="1:11" s="612" customFormat="1" x14ac:dyDescent="0.15">
      <c r="A38" s="608"/>
      <c r="B38" s="613">
        <v>3</v>
      </c>
      <c r="C38" s="714" t="s">
        <v>572</v>
      </c>
      <c r="D38" s="715" t="s">
        <v>560</v>
      </c>
      <c r="E38" s="715" t="s">
        <v>573</v>
      </c>
      <c r="F38" s="715" t="s">
        <v>669</v>
      </c>
      <c r="G38" s="718" t="str">
        <f t="shared" si="0"/>
        <v>24 years, 3 months, 19 days</v>
      </c>
      <c r="H38" s="614"/>
      <c r="I38" s="614"/>
      <c r="J38" s="615"/>
      <c r="K38" s="616"/>
    </row>
    <row r="39" spans="1:11" s="612" customFormat="1" x14ac:dyDescent="0.15">
      <c r="A39" s="608"/>
      <c r="B39" s="613">
        <v>4</v>
      </c>
      <c r="C39" s="714" t="s">
        <v>575</v>
      </c>
      <c r="D39" s="715" t="s">
        <v>564</v>
      </c>
      <c r="E39" s="715" t="s">
        <v>576</v>
      </c>
      <c r="F39" s="715" t="s">
        <v>669</v>
      </c>
      <c r="G39" s="718" t="str">
        <f t="shared" si="0"/>
        <v>24 years, 0 months, 20 days</v>
      </c>
      <c r="H39" s="614"/>
      <c r="I39" s="614"/>
      <c r="J39" s="615"/>
      <c r="K39" s="616"/>
    </row>
    <row r="40" spans="1:11" s="612" customFormat="1" x14ac:dyDescent="0.15">
      <c r="A40" s="608"/>
      <c r="B40" s="613">
        <v>5</v>
      </c>
      <c r="C40" s="714" t="s">
        <v>577</v>
      </c>
      <c r="D40" s="715" t="s">
        <v>566</v>
      </c>
      <c r="E40" s="715" t="s">
        <v>576</v>
      </c>
      <c r="F40" s="715" t="s">
        <v>669</v>
      </c>
      <c r="G40" s="718" t="str">
        <f t="shared" si="0"/>
        <v>24 years, 0 months, 20 days</v>
      </c>
      <c r="H40" s="614"/>
      <c r="I40" s="614"/>
      <c r="J40" s="615"/>
      <c r="K40" s="616"/>
    </row>
    <row r="41" spans="1:11" s="612" customFormat="1" x14ac:dyDescent="0.15">
      <c r="A41" s="608"/>
      <c r="B41" s="613"/>
      <c r="C41" s="714"/>
      <c r="D41" s="715"/>
      <c r="E41" s="715"/>
      <c r="F41" s="715"/>
      <c r="G41" s="611"/>
      <c r="H41" s="614"/>
      <c r="I41" s="614"/>
      <c r="J41" s="615"/>
      <c r="K41" s="616"/>
    </row>
    <row r="42" spans="1:11" s="612" customFormat="1" x14ac:dyDescent="0.15">
      <c r="A42" s="608"/>
      <c r="B42" s="613"/>
      <c r="C42" s="714"/>
      <c r="D42" s="715"/>
      <c r="E42" s="715"/>
      <c r="F42" s="715"/>
      <c r="G42" s="611"/>
      <c r="H42" s="614"/>
      <c r="I42" s="614"/>
      <c r="J42" s="615"/>
      <c r="K42" s="616"/>
    </row>
    <row r="43" spans="1:11" s="612" customFormat="1" ht="7.2" customHeight="1" x14ac:dyDescent="0.15">
      <c r="A43" s="608"/>
      <c r="B43" s="613"/>
      <c r="C43" s="714"/>
      <c r="D43" s="715"/>
      <c r="E43" s="715"/>
      <c r="F43" s="715"/>
      <c r="G43" s="611"/>
      <c r="H43" s="614"/>
      <c r="I43" s="614"/>
      <c r="J43" s="615"/>
      <c r="K43" s="616"/>
    </row>
    <row r="44" spans="1:11" s="612" customFormat="1" x14ac:dyDescent="0.15">
      <c r="A44" s="608"/>
      <c r="B44" s="613"/>
      <c r="C44" s="719" t="s">
        <v>457</v>
      </c>
      <c r="D44" s="719"/>
      <c r="E44" s="719"/>
      <c r="F44" s="719"/>
      <c r="G44" s="720"/>
      <c r="H44" s="614"/>
      <c r="I44" s="614"/>
      <c r="J44" s="615"/>
      <c r="K44" s="616"/>
    </row>
    <row r="45" spans="1:11" s="612" customFormat="1" x14ac:dyDescent="0.15">
      <c r="A45" s="608"/>
      <c r="B45" s="613"/>
      <c r="C45" s="721" t="s">
        <v>578</v>
      </c>
      <c r="D45" s="719"/>
      <c r="E45" s="719"/>
      <c r="F45" s="719"/>
      <c r="G45" s="720"/>
      <c r="H45" s="614"/>
      <c r="I45" s="614"/>
      <c r="J45" s="615"/>
      <c r="K45" s="616"/>
    </row>
    <row r="46" spans="1:11" s="612" customFormat="1" x14ac:dyDescent="0.15">
      <c r="A46" s="608"/>
      <c r="B46" s="613"/>
      <c r="C46" s="719" t="s">
        <v>579</v>
      </c>
      <c r="D46" s="719"/>
      <c r="E46" s="719"/>
      <c r="F46" s="719"/>
      <c r="G46" s="720"/>
      <c r="H46" s="614"/>
      <c r="I46" s="614"/>
      <c r="J46" s="615"/>
      <c r="K46" s="616"/>
    </row>
    <row r="47" spans="1:11" s="612" customFormat="1" x14ac:dyDescent="0.15">
      <c r="A47" s="608"/>
      <c r="B47" s="613"/>
      <c r="C47" s="719"/>
      <c r="D47" s="719"/>
      <c r="E47" s="719"/>
      <c r="F47" s="719"/>
      <c r="G47" s="720"/>
      <c r="H47" s="614"/>
      <c r="I47" s="614"/>
      <c r="J47" s="615"/>
      <c r="K47" s="616"/>
    </row>
    <row r="48" spans="1:11" s="612" customFormat="1" x14ac:dyDescent="0.15">
      <c r="A48" s="608"/>
      <c r="B48" s="613"/>
      <c r="C48" s="714"/>
      <c r="D48" s="715"/>
      <c r="E48" s="715"/>
      <c r="F48" s="715"/>
      <c r="G48" s="611"/>
      <c r="H48" s="614"/>
      <c r="I48" s="614"/>
      <c r="J48" s="615"/>
      <c r="K48" s="616"/>
    </row>
    <row r="49" spans="1:11" s="612" customFormat="1" x14ac:dyDescent="0.15">
      <c r="A49" s="608"/>
      <c r="B49" s="613"/>
      <c r="C49" s="714"/>
      <c r="D49" s="715"/>
      <c r="E49" s="715"/>
      <c r="F49" s="715"/>
      <c r="G49" s="611"/>
      <c r="H49" s="614"/>
      <c r="I49" s="614"/>
      <c r="J49" s="615"/>
      <c r="K49" s="616"/>
    </row>
    <row r="50" spans="1:11" s="612" customFormat="1" x14ac:dyDescent="0.15">
      <c r="A50" s="608"/>
      <c r="B50" s="613"/>
      <c r="C50" s="714"/>
      <c r="D50" s="715"/>
      <c r="E50" s="715"/>
      <c r="F50" s="715"/>
      <c r="G50" s="611"/>
      <c r="H50" s="614"/>
      <c r="I50" s="614"/>
      <c r="J50" s="615"/>
      <c r="K50" s="616"/>
    </row>
    <row r="51" spans="1:11" s="612" customFormat="1" x14ac:dyDescent="0.15">
      <c r="A51" s="608"/>
      <c r="B51" s="613"/>
      <c r="C51" s="714"/>
      <c r="D51" s="715"/>
      <c r="E51" s="715"/>
      <c r="F51" s="715"/>
      <c r="G51" s="611"/>
      <c r="H51" s="614"/>
      <c r="I51" s="614"/>
      <c r="J51" s="615"/>
      <c r="K51" s="616"/>
    </row>
    <row r="52" spans="1:11" s="612" customFormat="1" x14ac:dyDescent="0.15">
      <c r="A52" s="608"/>
      <c r="B52" s="613"/>
      <c r="C52" s="714"/>
      <c r="D52" s="715"/>
      <c r="E52" s="715"/>
      <c r="F52" s="715"/>
      <c r="G52" s="611"/>
      <c r="H52" s="614"/>
      <c r="I52" s="614"/>
      <c r="J52" s="615"/>
      <c r="K52" s="616"/>
    </row>
    <row r="53" spans="1:11" s="612" customFormat="1" x14ac:dyDescent="0.15">
      <c r="A53" s="608"/>
      <c r="B53" s="613"/>
      <c r="C53" s="714"/>
      <c r="D53" s="715"/>
      <c r="E53" s="715"/>
      <c r="F53" s="715"/>
      <c r="G53" s="611"/>
      <c r="H53" s="614"/>
      <c r="I53" s="614"/>
      <c r="J53" s="615"/>
      <c r="K53" s="616"/>
    </row>
    <row r="54" spans="1:11" s="612" customFormat="1" x14ac:dyDescent="0.15">
      <c r="A54" s="608"/>
      <c r="B54" s="613"/>
      <c r="C54" s="714"/>
      <c r="D54" s="715"/>
      <c r="E54" s="715"/>
      <c r="F54" s="715"/>
      <c r="G54" s="611"/>
      <c r="H54" s="614"/>
      <c r="I54" s="614"/>
      <c r="J54" s="615"/>
      <c r="K54" s="616"/>
    </row>
    <row r="55" spans="1:11" s="612" customFormat="1" x14ac:dyDescent="0.15">
      <c r="A55" s="608"/>
      <c r="B55" s="613"/>
      <c r="C55" s="714"/>
      <c r="D55" s="715"/>
      <c r="E55" s="715"/>
      <c r="F55" s="715"/>
      <c r="G55" s="611"/>
      <c r="H55" s="614"/>
      <c r="I55" s="614"/>
      <c r="J55" s="615"/>
      <c r="K55" s="616"/>
    </row>
    <row r="56" spans="1:11" s="612" customFormat="1" x14ac:dyDescent="0.15">
      <c r="A56" s="608"/>
      <c r="B56" s="613"/>
      <c r="C56" s="714"/>
      <c r="D56" s="715"/>
      <c r="E56" s="715"/>
      <c r="F56" s="715"/>
      <c r="G56" s="611"/>
      <c r="H56" s="614"/>
      <c r="I56" s="614"/>
      <c r="J56" s="615"/>
      <c r="K56" s="616"/>
    </row>
    <row r="57" spans="1:11" s="612" customFormat="1" x14ac:dyDescent="0.15">
      <c r="A57" s="608"/>
      <c r="B57" s="613"/>
      <c r="C57" s="714"/>
      <c r="D57" s="715"/>
      <c r="E57" s="715"/>
      <c r="F57" s="715"/>
      <c r="G57" s="611"/>
      <c r="H57" s="614"/>
      <c r="I57" s="614"/>
      <c r="J57" s="615"/>
      <c r="K57" s="616"/>
    </row>
    <row r="58" spans="1:11" s="612" customFormat="1" x14ac:dyDescent="0.15">
      <c r="A58" s="608"/>
      <c r="B58" s="613"/>
      <c r="C58" s="714"/>
      <c r="D58" s="715"/>
      <c r="E58" s="715"/>
      <c r="F58" s="715"/>
      <c r="G58" s="611"/>
      <c r="H58" s="614"/>
      <c r="I58" s="614"/>
      <c r="J58" s="615"/>
      <c r="K58" s="616"/>
    </row>
    <row r="59" spans="1:11" s="612" customFormat="1" x14ac:dyDescent="0.15">
      <c r="A59" s="608"/>
      <c r="B59" s="613"/>
      <c r="C59" s="714"/>
      <c r="D59" s="715"/>
      <c r="E59" s="715"/>
      <c r="F59" s="715"/>
      <c r="G59" s="611"/>
      <c r="H59" s="614"/>
      <c r="I59" s="614"/>
      <c r="J59" s="615"/>
      <c r="K59" s="616"/>
    </row>
    <row r="60" spans="1:11" x14ac:dyDescent="0.15">
      <c r="C60" s="714"/>
      <c r="D60" s="715"/>
      <c r="E60" s="715"/>
      <c r="F60" s="715"/>
      <c r="G60" s="611"/>
    </row>
    <row r="61" spans="1:11" x14ac:dyDescent="0.15">
      <c r="C61" s="714"/>
      <c r="D61" s="715"/>
      <c r="E61" s="715"/>
      <c r="F61" s="715"/>
      <c r="G61" s="611"/>
    </row>
    <row r="62" spans="1:11" x14ac:dyDescent="0.15">
      <c r="C62" s="714"/>
      <c r="D62" s="715"/>
      <c r="E62" s="715"/>
      <c r="F62" s="715"/>
      <c r="G62" s="611"/>
    </row>
    <row r="63" spans="1:11" x14ac:dyDescent="0.15">
      <c r="C63" s="714"/>
      <c r="D63" s="715"/>
      <c r="E63" s="715"/>
      <c r="F63" s="715"/>
      <c r="G63" s="611"/>
    </row>
    <row r="64" spans="1:11" x14ac:dyDescent="0.15">
      <c r="C64" s="714"/>
      <c r="D64" s="715"/>
      <c r="E64" s="715"/>
      <c r="F64" s="715"/>
      <c r="G64" s="611"/>
    </row>
    <row r="65" spans="3:7" x14ac:dyDescent="0.15">
      <c r="C65" s="714"/>
      <c r="D65" s="715"/>
      <c r="E65" s="715"/>
      <c r="F65" s="715"/>
      <c r="G65" s="611"/>
    </row>
    <row r="66" spans="3:7" x14ac:dyDescent="0.15">
      <c r="C66" s="714"/>
      <c r="D66" s="715"/>
      <c r="E66" s="715"/>
      <c r="F66" s="715"/>
      <c r="G66" s="611"/>
    </row>
    <row r="67" spans="3:7" x14ac:dyDescent="0.15">
      <c r="C67" s="714"/>
      <c r="D67" s="715"/>
      <c r="E67" s="715"/>
      <c r="F67" s="715"/>
      <c r="G67" s="611"/>
    </row>
    <row r="68" spans="3:7" x14ac:dyDescent="0.15">
      <c r="C68" s="714"/>
      <c r="D68" s="715"/>
      <c r="E68" s="715"/>
      <c r="F68" s="715"/>
      <c r="G68" s="611"/>
    </row>
    <row r="69" spans="3:7" x14ac:dyDescent="0.15">
      <c r="C69" s="714"/>
      <c r="D69" s="715"/>
      <c r="E69" s="715"/>
      <c r="F69" s="715"/>
      <c r="G69" s="611"/>
    </row>
  </sheetData>
  <pageMargins left="0.55000000000000004" right="0.6" top="0.75" bottom="0.4" header="0.4" footer="0.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3AF0-FB80-4FDE-B795-893795E7B466}">
  <sheetPr>
    <tabColor rgb="FF7030A0"/>
  </sheetPr>
  <dimension ref="A1:J57"/>
  <sheetViews>
    <sheetView zoomScale="145" zoomScaleNormal="145" zoomScaleSheetLayoutView="130" workbookViewId="0">
      <selection activeCell="D18" sqref="D18"/>
    </sheetView>
  </sheetViews>
  <sheetFormatPr defaultColWidth="14.140625" defaultRowHeight="7.8" x14ac:dyDescent="0.15"/>
  <cols>
    <col min="1" max="2" width="4.5703125" style="561" customWidth="1"/>
    <col min="3" max="3" width="26.7109375" style="505" customWidth="1"/>
    <col min="4" max="4" width="2.42578125" style="505" customWidth="1"/>
    <col min="5" max="5" width="8.5703125" style="582" customWidth="1"/>
    <col min="6" max="6" width="10.28515625" style="571" customWidth="1"/>
    <col min="7" max="7" width="10.42578125" style="167" customWidth="1"/>
    <col min="8" max="8" width="10.5703125" style="167" customWidth="1"/>
    <col min="9" max="9" width="26.5703125" style="506" customWidth="1"/>
    <col min="10" max="10" width="19.28515625" style="473" customWidth="1"/>
    <col min="11" max="16384" width="14.140625" style="505"/>
  </cols>
  <sheetData>
    <row r="1" spans="1:10" s="6" customFormat="1" x14ac:dyDescent="0.15">
      <c r="A1" s="1"/>
      <c r="B1" s="1"/>
      <c r="C1" s="2" t="s">
        <v>0</v>
      </c>
      <c r="D1" s="2"/>
      <c r="E1" s="617"/>
      <c r="F1" s="3"/>
      <c r="G1" s="618"/>
      <c r="H1" s="619"/>
      <c r="I1" s="620"/>
      <c r="J1" s="620"/>
    </row>
    <row r="2" spans="1:10" s="626" customFormat="1" ht="12" x14ac:dyDescent="0.25">
      <c r="A2" s="621"/>
      <c r="B2" s="621"/>
      <c r="C2" s="622" t="s">
        <v>580</v>
      </c>
      <c r="D2" s="622"/>
      <c r="E2" s="621"/>
      <c r="F2" s="621"/>
      <c r="G2" s="623"/>
      <c r="H2" s="624"/>
      <c r="I2" s="625"/>
      <c r="J2" s="625"/>
    </row>
    <row r="3" spans="1:10" s="632" customFormat="1" ht="10.199999999999999" x14ac:dyDescent="0.2">
      <c r="A3" s="627"/>
      <c r="B3" s="627"/>
      <c r="C3" s="628">
        <v>45323</v>
      </c>
      <c r="D3" s="628"/>
      <c r="E3" s="628"/>
      <c r="F3" s="628"/>
      <c r="G3" s="629"/>
      <c r="H3" s="630"/>
      <c r="I3" s="631"/>
      <c r="J3" s="631"/>
    </row>
    <row r="4" spans="1:10" s="563" customFormat="1" x14ac:dyDescent="0.15">
      <c r="A4" s="587"/>
      <c r="B4" s="587"/>
      <c r="E4" s="587"/>
      <c r="G4" s="564"/>
      <c r="H4" s="168"/>
      <c r="I4" s="506"/>
      <c r="J4" s="506"/>
    </row>
    <row r="5" spans="1:10" s="563" customFormat="1" x14ac:dyDescent="0.15">
      <c r="A5" s="587"/>
      <c r="B5" s="587"/>
      <c r="E5" s="587"/>
      <c r="G5" s="564"/>
      <c r="H5" s="168"/>
      <c r="I5" s="506"/>
      <c r="J5" s="506"/>
    </row>
    <row r="6" spans="1:10" s="633" customFormat="1" ht="6.6" x14ac:dyDescent="0.15">
      <c r="F6" s="634"/>
      <c r="G6" s="634"/>
      <c r="H6" s="635"/>
      <c r="I6" s="636"/>
      <c r="J6" s="636"/>
    </row>
    <row r="7" spans="1:10" s="637" customFormat="1" ht="15.6" x14ac:dyDescent="0.15">
      <c r="E7" s="638" t="s">
        <v>581</v>
      </c>
      <c r="F7" s="638" t="s">
        <v>495</v>
      </c>
      <c r="G7" s="639" t="s">
        <v>686</v>
      </c>
      <c r="H7" s="639" t="s">
        <v>582</v>
      </c>
      <c r="I7" s="637" t="s">
        <v>6</v>
      </c>
    </row>
    <row r="8" spans="1:10" s="563" customFormat="1" x14ac:dyDescent="0.15">
      <c r="A8" s="587"/>
      <c r="B8" s="587"/>
      <c r="E8" s="587"/>
      <c r="G8" s="168"/>
      <c r="H8" s="168"/>
      <c r="I8" s="506"/>
      <c r="J8" s="506"/>
    </row>
    <row r="9" spans="1:10" x14ac:dyDescent="0.15">
      <c r="D9" s="640"/>
      <c r="E9" s="587"/>
      <c r="F9" s="505"/>
    </row>
    <row r="10" spans="1:10" x14ac:dyDescent="0.15">
      <c r="E10" s="587"/>
      <c r="F10" s="505"/>
    </row>
    <row r="11" spans="1:10" s="206" customFormat="1" x14ac:dyDescent="0.15">
      <c r="A11" s="641"/>
      <c r="B11" s="641"/>
      <c r="E11" s="642"/>
      <c r="G11" s="267"/>
      <c r="H11" s="267"/>
      <c r="I11" s="485"/>
      <c r="J11" s="643"/>
    </row>
    <row r="12" spans="1:10" s="645" customFormat="1" ht="10.199999999999999" x14ac:dyDescent="0.2">
      <c r="A12" s="644"/>
      <c r="B12" s="644"/>
      <c r="C12" s="645" t="s">
        <v>583</v>
      </c>
      <c r="E12" s="644"/>
      <c r="G12" s="646"/>
      <c r="H12" s="647"/>
      <c r="I12" s="648"/>
      <c r="J12" s="648"/>
    </row>
    <row r="13" spans="1:10" s="206" customFormat="1" x14ac:dyDescent="0.15">
      <c r="A13" s="641"/>
      <c r="B13" s="641"/>
      <c r="E13" s="207"/>
      <c r="G13" s="267"/>
      <c r="H13" s="267"/>
      <c r="I13" s="485"/>
      <c r="J13" s="643"/>
    </row>
    <row r="14" spans="1:10" s="641" customFormat="1" x14ac:dyDescent="0.15">
      <c r="D14" s="649"/>
      <c r="E14" s="650" t="s">
        <v>584</v>
      </c>
      <c r="F14" s="651" t="s">
        <v>585</v>
      </c>
      <c r="G14" s="652"/>
      <c r="H14" s="652"/>
      <c r="I14" s="653"/>
      <c r="J14" s="654"/>
    </row>
    <row r="15" spans="1:10" s="206" customFormat="1" x14ac:dyDescent="0.15">
      <c r="A15" s="641"/>
      <c r="B15" s="641"/>
      <c r="E15" s="207"/>
      <c r="G15" s="267"/>
      <c r="H15" s="267"/>
      <c r="I15" s="485"/>
      <c r="J15" s="643"/>
    </row>
    <row r="16" spans="1:10" s="206" customFormat="1" x14ac:dyDescent="0.15">
      <c r="A16" s="641"/>
      <c r="B16" s="641"/>
      <c r="C16" s="206" t="s">
        <v>586</v>
      </c>
      <c r="E16" s="652">
        <v>250</v>
      </c>
      <c r="F16" s="655">
        <v>150</v>
      </c>
      <c r="G16" s="642"/>
      <c r="H16" s="642" t="s">
        <v>587</v>
      </c>
      <c r="I16" s="485"/>
      <c r="J16" s="643"/>
    </row>
    <row r="17" spans="1:10" s="206" customFormat="1" x14ac:dyDescent="0.15">
      <c r="A17" s="641"/>
      <c r="B17" s="641"/>
      <c r="C17" s="206" t="s">
        <v>588</v>
      </c>
      <c r="E17" s="652">
        <v>500</v>
      </c>
      <c r="F17" s="655">
        <v>300</v>
      </c>
      <c r="G17" s="642"/>
      <c r="H17" s="642" t="s">
        <v>589</v>
      </c>
      <c r="I17" s="485"/>
      <c r="J17" s="643"/>
    </row>
    <row r="18" spans="1:10" s="206" customFormat="1" x14ac:dyDescent="0.15">
      <c r="A18" s="641"/>
      <c r="B18" s="641"/>
      <c r="C18" s="206" t="s">
        <v>590</v>
      </c>
      <c r="E18" s="652">
        <v>1000</v>
      </c>
      <c r="F18" s="655">
        <v>450</v>
      </c>
      <c r="G18" s="642"/>
      <c r="H18" s="642" t="s">
        <v>591</v>
      </c>
      <c r="I18" s="485"/>
      <c r="J18" s="643"/>
    </row>
    <row r="19" spans="1:10" s="206" customFormat="1" x14ac:dyDescent="0.15">
      <c r="A19" s="641"/>
      <c r="B19" s="641"/>
      <c r="C19" s="206" t="s">
        <v>592</v>
      </c>
      <c r="E19" s="652">
        <v>2000</v>
      </c>
      <c r="F19" s="655">
        <v>600</v>
      </c>
      <c r="G19" s="642"/>
      <c r="H19" s="642" t="s">
        <v>593</v>
      </c>
      <c r="I19" s="485"/>
      <c r="J19" s="643"/>
    </row>
    <row r="20" spans="1:10" s="206" customFormat="1" x14ac:dyDescent="0.15">
      <c r="A20" s="641"/>
      <c r="B20" s="641"/>
      <c r="E20" s="642"/>
      <c r="G20" s="267"/>
      <c r="H20" s="267"/>
      <c r="I20" s="485"/>
      <c r="J20" s="643"/>
    </row>
    <row r="21" spans="1:10" x14ac:dyDescent="0.15">
      <c r="E21" s="587"/>
      <c r="F21" s="505"/>
    </row>
    <row r="22" spans="1:10" x14ac:dyDescent="0.15">
      <c r="C22" s="656"/>
      <c r="D22" s="656"/>
      <c r="E22" s="610"/>
      <c r="F22" s="609"/>
      <c r="I22" s="657"/>
      <c r="J22" s="658"/>
    </row>
    <row r="23" spans="1:10" s="524" customFormat="1" ht="10.199999999999999" x14ac:dyDescent="0.2">
      <c r="A23" s="659"/>
      <c r="B23" s="659"/>
      <c r="C23" s="524" t="s">
        <v>594</v>
      </c>
      <c r="E23" s="659"/>
      <c r="F23" s="659"/>
      <c r="G23" s="660"/>
      <c r="H23" s="661"/>
      <c r="I23" s="494"/>
      <c r="J23" s="494"/>
    </row>
    <row r="24" spans="1:10" x14ac:dyDescent="0.15">
      <c r="F24" s="561"/>
    </row>
    <row r="26" spans="1:10" x14ac:dyDescent="0.15">
      <c r="B26" s="561">
        <v>1</v>
      </c>
      <c r="C26" s="656" t="s">
        <v>679</v>
      </c>
      <c r="E26" s="723">
        <v>530</v>
      </c>
      <c r="F26" s="609" t="s">
        <v>681</v>
      </c>
      <c r="G26" s="724" t="s">
        <v>682</v>
      </c>
      <c r="H26" s="167">
        <v>150</v>
      </c>
    </row>
    <row r="27" spans="1:10" x14ac:dyDescent="0.15">
      <c r="B27" s="561">
        <v>2</v>
      </c>
      <c r="C27" s="656" t="s">
        <v>628</v>
      </c>
      <c r="E27" s="723">
        <v>519</v>
      </c>
      <c r="F27" s="609" t="s">
        <v>629</v>
      </c>
      <c r="G27" s="724" t="s">
        <v>682</v>
      </c>
      <c r="H27" s="167">
        <v>150</v>
      </c>
    </row>
    <row r="28" spans="1:10" x14ac:dyDescent="0.15">
      <c r="B28" s="561">
        <v>3</v>
      </c>
      <c r="C28" s="656" t="s">
        <v>639</v>
      </c>
      <c r="E28" s="723">
        <v>487</v>
      </c>
      <c r="F28" s="609" t="s">
        <v>598</v>
      </c>
      <c r="G28" s="724" t="s">
        <v>682</v>
      </c>
      <c r="H28" s="167">
        <v>150</v>
      </c>
    </row>
    <row r="29" spans="1:10" x14ac:dyDescent="0.15">
      <c r="B29" s="561">
        <v>4</v>
      </c>
      <c r="C29" s="656" t="s">
        <v>597</v>
      </c>
      <c r="E29" s="723">
        <v>492</v>
      </c>
      <c r="F29" s="609" t="s">
        <v>598</v>
      </c>
      <c r="G29" s="724" t="s">
        <v>683</v>
      </c>
      <c r="H29" s="167">
        <v>300</v>
      </c>
    </row>
    <row r="30" spans="1:10" x14ac:dyDescent="0.15">
      <c r="B30" s="561">
        <v>5</v>
      </c>
      <c r="C30" s="656" t="s">
        <v>599</v>
      </c>
      <c r="E30" s="723">
        <v>448</v>
      </c>
      <c r="F30" s="609" t="s">
        <v>600</v>
      </c>
      <c r="G30" s="724" t="s">
        <v>683</v>
      </c>
      <c r="H30" s="167">
        <v>300</v>
      </c>
    </row>
    <row r="31" spans="1:10" x14ac:dyDescent="0.15">
      <c r="B31" s="561">
        <v>6</v>
      </c>
      <c r="C31" s="656" t="s">
        <v>601</v>
      </c>
      <c r="E31" s="723">
        <v>445</v>
      </c>
      <c r="F31" s="609" t="s">
        <v>602</v>
      </c>
      <c r="G31" s="724" t="s">
        <v>683</v>
      </c>
      <c r="H31" s="167">
        <v>300</v>
      </c>
    </row>
    <row r="32" spans="1:10" x14ac:dyDescent="0.15">
      <c r="B32" s="561">
        <v>7</v>
      </c>
      <c r="C32" s="656" t="s">
        <v>603</v>
      </c>
      <c r="E32" s="723">
        <v>484</v>
      </c>
      <c r="F32" s="609" t="s">
        <v>604</v>
      </c>
      <c r="G32" s="724" t="s">
        <v>683</v>
      </c>
      <c r="H32" s="167">
        <v>300</v>
      </c>
    </row>
    <row r="33" spans="2:8" x14ac:dyDescent="0.15">
      <c r="B33" s="561">
        <v>8</v>
      </c>
      <c r="C33" s="656" t="s">
        <v>622</v>
      </c>
      <c r="E33" s="723">
        <v>441</v>
      </c>
      <c r="F33" s="609" t="s">
        <v>623</v>
      </c>
      <c r="G33" s="724" t="s">
        <v>683</v>
      </c>
      <c r="H33" s="167">
        <v>300</v>
      </c>
    </row>
    <row r="34" spans="2:8" x14ac:dyDescent="0.15">
      <c r="B34" s="561">
        <v>9</v>
      </c>
      <c r="C34" s="656" t="s">
        <v>624</v>
      </c>
      <c r="E34" s="723">
        <v>439</v>
      </c>
      <c r="F34" s="609" t="s">
        <v>625</v>
      </c>
      <c r="G34" s="724" t="s">
        <v>683</v>
      </c>
      <c r="H34" s="167">
        <v>300</v>
      </c>
    </row>
    <row r="35" spans="2:8" x14ac:dyDescent="0.15">
      <c r="B35" s="561">
        <v>10</v>
      </c>
      <c r="C35" s="656" t="s">
        <v>626</v>
      </c>
      <c r="E35" s="723">
        <v>394</v>
      </c>
      <c r="F35" s="609" t="s">
        <v>627</v>
      </c>
      <c r="G35" s="724" t="s">
        <v>683</v>
      </c>
      <c r="H35" s="167">
        <v>300</v>
      </c>
    </row>
    <row r="36" spans="2:8" x14ac:dyDescent="0.15">
      <c r="B36" s="561">
        <v>11</v>
      </c>
      <c r="C36" s="656" t="s">
        <v>635</v>
      </c>
      <c r="E36" s="723">
        <v>443</v>
      </c>
      <c r="F36" s="609" t="s">
        <v>636</v>
      </c>
      <c r="G36" s="724" t="s">
        <v>683</v>
      </c>
      <c r="H36" s="167">
        <v>300</v>
      </c>
    </row>
    <row r="37" spans="2:8" x14ac:dyDescent="0.15">
      <c r="B37" s="561">
        <v>12</v>
      </c>
      <c r="C37" s="656" t="s">
        <v>637</v>
      </c>
      <c r="E37" s="723">
        <v>429</v>
      </c>
      <c r="F37" s="609" t="s">
        <v>638</v>
      </c>
      <c r="G37" s="724" t="s">
        <v>683</v>
      </c>
      <c r="H37" s="167">
        <v>300</v>
      </c>
    </row>
    <row r="38" spans="2:8" x14ac:dyDescent="0.15">
      <c r="B38" s="561">
        <v>13</v>
      </c>
      <c r="C38" s="656" t="s">
        <v>640</v>
      </c>
      <c r="E38" s="723">
        <v>453</v>
      </c>
      <c r="F38" s="609" t="s">
        <v>641</v>
      </c>
      <c r="G38" s="724" t="s">
        <v>683</v>
      </c>
      <c r="H38" s="167">
        <v>300</v>
      </c>
    </row>
    <row r="39" spans="2:8" x14ac:dyDescent="0.15">
      <c r="B39" s="561">
        <v>14</v>
      </c>
      <c r="C39" s="656" t="s">
        <v>605</v>
      </c>
      <c r="E39" s="723">
        <v>326</v>
      </c>
      <c r="F39" s="609" t="s">
        <v>606</v>
      </c>
      <c r="G39" s="724" t="s">
        <v>684</v>
      </c>
      <c r="H39" s="167">
        <v>450</v>
      </c>
    </row>
    <row r="40" spans="2:8" x14ac:dyDescent="0.15">
      <c r="B40" s="561">
        <v>15</v>
      </c>
      <c r="C40" s="656" t="s">
        <v>607</v>
      </c>
      <c r="E40" s="723">
        <v>322</v>
      </c>
      <c r="F40" s="609" t="s">
        <v>606</v>
      </c>
      <c r="G40" s="724" t="s">
        <v>684</v>
      </c>
      <c r="H40" s="167">
        <v>450</v>
      </c>
    </row>
    <row r="41" spans="2:8" x14ac:dyDescent="0.15">
      <c r="B41" s="561">
        <v>16</v>
      </c>
      <c r="C41" s="656" t="s">
        <v>608</v>
      </c>
      <c r="E41" s="723">
        <v>514</v>
      </c>
      <c r="F41" s="609" t="s">
        <v>609</v>
      </c>
      <c r="G41" s="724" t="s">
        <v>684</v>
      </c>
      <c r="H41" s="167">
        <v>450</v>
      </c>
    </row>
    <row r="42" spans="2:8" x14ac:dyDescent="0.15">
      <c r="B42" s="561">
        <v>17</v>
      </c>
      <c r="C42" s="656" t="s">
        <v>611</v>
      </c>
      <c r="E42" s="723">
        <v>386</v>
      </c>
      <c r="F42" s="609" t="s">
        <v>612</v>
      </c>
      <c r="G42" s="724" t="s">
        <v>684</v>
      </c>
      <c r="H42" s="167">
        <v>450</v>
      </c>
    </row>
    <row r="43" spans="2:8" x14ac:dyDescent="0.15">
      <c r="B43" s="561">
        <v>18</v>
      </c>
      <c r="C43" s="656" t="s">
        <v>613</v>
      </c>
      <c r="E43" s="723">
        <v>318</v>
      </c>
      <c r="F43" s="609" t="s">
        <v>606</v>
      </c>
      <c r="G43" s="724" t="s">
        <v>684</v>
      </c>
      <c r="H43" s="167">
        <v>450</v>
      </c>
    </row>
    <row r="44" spans="2:8" x14ac:dyDescent="0.15">
      <c r="B44" s="561">
        <v>19</v>
      </c>
      <c r="C44" s="656" t="s">
        <v>617</v>
      </c>
      <c r="E44" s="723">
        <v>453</v>
      </c>
      <c r="F44" s="609" t="s">
        <v>618</v>
      </c>
      <c r="G44" s="724" t="s">
        <v>684</v>
      </c>
      <c r="H44" s="167">
        <v>450</v>
      </c>
    </row>
    <row r="45" spans="2:8" x14ac:dyDescent="0.15">
      <c r="B45" s="561">
        <v>20</v>
      </c>
      <c r="C45" s="656" t="s">
        <v>619</v>
      </c>
      <c r="E45" s="723">
        <v>357</v>
      </c>
      <c r="F45" s="609" t="s">
        <v>620</v>
      </c>
      <c r="G45" s="724" t="s">
        <v>684</v>
      </c>
      <c r="H45" s="167">
        <v>450</v>
      </c>
    </row>
    <row r="46" spans="2:8" x14ac:dyDescent="0.15">
      <c r="B46" s="561">
        <v>21</v>
      </c>
      <c r="C46" s="656" t="s">
        <v>631</v>
      </c>
      <c r="E46" s="723">
        <v>440</v>
      </c>
      <c r="F46" s="609" t="s">
        <v>632</v>
      </c>
      <c r="G46" s="724" t="s">
        <v>684</v>
      </c>
      <c r="H46" s="167">
        <v>450</v>
      </c>
    </row>
    <row r="47" spans="2:8" x14ac:dyDescent="0.15">
      <c r="B47" s="561">
        <v>22</v>
      </c>
      <c r="C47" s="656" t="s">
        <v>642</v>
      </c>
      <c r="E47" s="723">
        <v>379</v>
      </c>
      <c r="F47" s="609" t="s">
        <v>643</v>
      </c>
      <c r="G47" s="724" t="s">
        <v>684</v>
      </c>
      <c r="H47" s="167">
        <v>450</v>
      </c>
    </row>
    <row r="48" spans="2:8" x14ac:dyDescent="0.15">
      <c r="B48" s="561">
        <v>23</v>
      </c>
      <c r="C48" s="656" t="s">
        <v>644</v>
      </c>
      <c r="E48" s="723">
        <v>504</v>
      </c>
      <c r="F48" s="609" t="s">
        <v>645</v>
      </c>
      <c r="G48" s="724" t="s">
        <v>684</v>
      </c>
      <c r="H48" s="167">
        <v>450</v>
      </c>
    </row>
    <row r="49" spans="1:10" x14ac:dyDescent="0.15">
      <c r="B49" s="561">
        <v>24</v>
      </c>
      <c r="C49" s="656" t="s">
        <v>646</v>
      </c>
      <c r="E49" s="723">
        <v>525</v>
      </c>
      <c r="F49" s="609" t="s">
        <v>647</v>
      </c>
      <c r="G49" s="724" t="s">
        <v>684</v>
      </c>
      <c r="H49" s="167">
        <v>450</v>
      </c>
    </row>
    <row r="50" spans="1:10" x14ac:dyDescent="0.15">
      <c r="B50" s="561">
        <v>25</v>
      </c>
      <c r="C50" s="656" t="s">
        <v>595</v>
      </c>
      <c r="E50" s="723">
        <v>400</v>
      </c>
      <c r="F50" s="609" t="s">
        <v>596</v>
      </c>
      <c r="G50" s="724" t="s">
        <v>685</v>
      </c>
      <c r="H50" s="167">
        <v>600</v>
      </c>
    </row>
    <row r="51" spans="1:10" x14ac:dyDescent="0.15">
      <c r="B51" s="561">
        <v>26</v>
      </c>
      <c r="C51" s="656" t="s">
        <v>610</v>
      </c>
      <c r="E51" s="723">
        <v>486</v>
      </c>
      <c r="F51" s="609" t="s">
        <v>598</v>
      </c>
      <c r="G51" s="724" t="s">
        <v>685</v>
      </c>
      <c r="H51" s="167">
        <v>600</v>
      </c>
    </row>
    <row r="52" spans="1:10" x14ac:dyDescent="0.15">
      <c r="B52" s="561">
        <v>27</v>
      </c>
      <c r="C52" s="656" t="s">
        <v>614</v>
      </c>
      <c r="E52" s="723">
        <v>319</v>
      </c>
      <c r="F52" s="609" t="s">
        <v>606</v>
      </c>
      <c r="G52" s="724" t="s">
        <v>685</v>
      </c>
      <c r="H52" s="167">
        <v>600</v>
      </c>
    </row>
    <row r="53" spans="1:10" x14ac:dyDescent="0.15">
      <c r="B53" s="561">
        <v>28</v>
      </c>
      <c r="C53" s="656" t="s">
        <v>615</v>
      </c>
      <c r="E53" s="723">
        <v>325</v>
      </c>
      <c r="F53" s="609" t="s">
        <v>606</v>
      </c>
      <c r="G53" s="724" t="s">
        <v>685</v>
      </c>
      <c r="H53" s="167">
        <v>600</v>
      </c>
      <c r="I53" s="733" t="s">
        <v>616</v>
      </c>
    </row>
    <row r="54" spans="1:10" x14ac:dyDescent="0.15">
      <c r="B54" s="561">
        <v>29</v>
      </c>
      <c r="C54" s="656" t="s">
        <v>621</v>
      </c>
      <c r="E54" s="723">
        <v>325</v>
      </c>
      <c r="F54" s="609" t="s">
        <v>606</v>
      </c>
      <c r="G54" s="724" t="s">
        <v>685</v>
      </c>
      <c r="H54" s="167">
        <v>600</v>
      </c>
      <c r="I54" s="177"/>
    </row>
    <row r="55" spans="1:10" x14ac:dyDescent="0.15">
      <c r="B55" s="561">
        <v>30</v>
      </c>
      <c r="C55" s="656" t="s">
        <v>680</v>
      </c>
      <c r="E55" s="723">
        <v>523</v>
      </c>
      <c r="F55" s="609" t="s">
        <v>630</v>
      </c>
      <c r="G55" s="724" t="s">
        <v>685</v>
      </c>
      <c r="H55" s="167">
        <v>600</v>
      </c>
      <c r="I55" s="733" t="s">
        <v>687</v>
      </c>
    </row>
    <row r="56" spans="1:10" x14ac:dyDescent="0.15">
      <c r="B56" s="561">
        <v>31</v>
      </c>
      <c r="C56" s="656" t="s">
        <v>633</v>
      </c>
      <c r="E56" s="723">
        <v>330</v>
      </c>
      <c r="F56" s="609" t="s">
        <v>634</v>
      </c>
      <c r="G56" s="724" t="s">
        <v>685</v>
      </c>
      <c r="H56" s="167">
        <v>600</v>
      </c>
    </row>
    <row r="57" spans="1:10" s="727" customFormat="1" x14ac:dyDescent="0.15">
      <c r="A57" s="726"/>
      <c r="B57" s="726"/>
      <c r="E57" s="728"/>
      <c r="F57" s="729"/>
      <c r="G57" s="730"/>
      <c r="H57" s="725">
        <f>SUM(H26:H56)</f>
        <v>12600</v>
      </c>
      <c r="I57" s="731"/>
      <c r="J57" s="732"/>
    </row>
  </sheetData>
  <pageMargins left="0.5" right="0.25" top="0.4" bottom="0.4" header="0.4" footer="0.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Financials Snapshot 23-24</vt:lpstr>
      <vt:lpstr>Fiscal Highlights 23-24</vt:lpstr>
      <vt:lpstr>Income Statement 23-24</vt:lpstr>
      <vt:lpstr>Balance Sheet 23-24</vt:lpstr>
      <vt:lpstr>Banking &amp; InvestM 23-24</vt:lpstr>
      <vt:lpstr>Capital 23-24</vt:lpstr>
      <vt:lpstr>Members 23-24 Nos</vt:lpstr>
      <vt:lpstr>MemberS 23-24 Lifetime</vt:lpstr>
      <vt:lpstr>MemberS Intermediates 23-24</vt:lpstr>
      <vt:lpstr>'Balance Sheet 23-24'!Print_Area</vt:lpstr>
      <vt:lpstr>'Banking &amp; InvestM 23-24'!Print_Area</vt:lpstr>
      <vt:lpstr>'Capital 23-24'!Print_Area</vt:lpstr>
      <vt:lpstr>'Financials Snapshot 23-24'!Print_Area</vt:lpstr>
      <vt:lpstr>'Fiscal Highlights 23-24'!Print_Area</vt:lpstr>
      <vt:lpstr>'Income Statement 23-24'!Print_Area</vt:lpstr>
      <vt:lpstr>'MemberS 23-24 Lifetime'!Print_Area</vt:lpstr>
      <vt:lpstr>'Members 23-24 Nos'!Print_Area</vt:lpstr>
      <vt:lpstr>'MemberS Intermediates 23-24'!Print_Area</vt:lpstr>
      <vt:lpstr>'Capital 23-24'!Print_Titles</vt:lpstr>
      <vt:lpstr>'Financials Snapshot 23-24'!Print_Titles</vt:lpstr>
      <vt:lpstr>'Fiscal Highlights 23-24'!Print_Titles</vt:lpstr>
      <vt:lpstr>'Income Statement 23-24'!Print_Titles</vt:lpstr>
      <vt:lpstr>'MemberS 23-24 Lifetime'!Print_Titles</vt:lpstr>
      <vt:lpstr>'Members 23-24 Nos'!Print_Titles</vt:lpstr>
      <vt:lpstr>'MemberS Intermediates 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Carlson</dc:creator>
  <cp:lastModifiedBy>Joyce Carlson</cp:lastModifiedBy>
  <cp:lastPrinted>2024-03-09T22:09:49Z</cp:lastPrinted>
  <dcterms:created xsi:type="dcterms:W3CDTF">2024-03-06T12:39:41Z</dcterms:created>
  <dcterms:modified xsi:type="dcterms:W3CDTF">2024-03-09T22:15:27Z</dcterms:modified>
</cp:coreProperties>
</file>